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Z:\GENEL\PUBLIC-2\FORMLAR\FORMLAR-STANDART BM TRADA\"/>
    </mc:Choice>
  </mc:AlternateContent>
  <xr:revisionPtr revIDLastSave="0" documentId="13_ncr:1_{743ADEAC-C058-48E2-9064-238076A385E3}" xr6:coauthVersionLast="47" xr6:coauthVersionMax="47" xr10:uidLastSave="{00000000-0000-0000-0000-000000000000}"/>
  <bookViews>
    <workbookView xWindow="-108" yWindow="-108" windowWidth="23256" windowHeight="12456" firstSheet="2" activeTab="2" xr2:uid="{0DDF92BD-A7FE-4957-9074-334221733CD9}"/>
  </bookViews>
  <sheets>
    <sheet name="Disclaimer" sheetId="3" state="hidden" r:id="rId1"/>
    <sheet name="Instructions" sheetId="6" state="hidden" r:id="rId2"/>
    <sheet name="Gelir Bildirimi" sheetId="9" r:id="rId3"/>
    <sheet name="Basic Calculator" sheetId="1" r:id="rId4"/>
    <sheet name="COC Group Calculator" sheetId="4" state="hidden" r:id="rId5"/>
    <sheet name="Bulk CoC Calculator" sheetId="2" state="hidden" r:id="rId6"/>
    <sheet name="Bulk Group CoC Calculator" sheetId="5" state="hidden" r:id="rId7"/>
    <sheet name="Inflation" sheetId="8" state="hidden" r:id="rId8"/>
  </sheets>
  <definedNames>
    <definedName name="_xlnm._FilterDatabase" localSheetId="6" hidden="1">'Bulk Group CoC Calculator'!$A$1:$Q$51</definedName>
    <definedName name="AAF_Class" localSheetId="3">'Basic Calculator'!$C$8</definedName>
    <definedName name="Additional_AAF_New" localSheetId="3">'Basic Calculator'!$C$42</definedName>
    <definedName name="Base_Cost_New" localSheetId="3">'Basic Calculator'!$C$27</definedName>
    <definedName name="Base_Costs_Lookup">Base_Costs[[AAF Class]:[Trader (USD)]]</definedName>
    <definedName name="CH_Turnover" localSheetId="3">'Basic Calculator'!$C$4</definedName>
    <definedName name="Class_Base_Turnover_New" localSheetId="3">'Basic Calculator'!$C$26</definedName>
    <definedName name="Class_Numbers">Variable_Costs[AAF Class]</definedName>
    <definedName name="CoC_Cert_Types">'Basic Calculator'!$F$3:$H$3</definedName>
    <definedName name="CoC_Group_Member_Charge">'COC Group Calculator'!$C$59</definedName>
    <definedName name="CoC_Type" localSheetId="3">'Basic Calculator'!$C$3</definedName>
    <definedName name="COC_Type_Index">'Basic Calculator'!$C$13</definedName>
    <definedName name="FM_AAF_Due" localSheetId="3">'Basic Calculator'!#REF!</definedName>
    <definedName name="FM_Area" localSheetId="3">'Basic Calculator'!#REF!</definedName>
    <definedName name="FM_Base_Fee">'Basic Calculator'!#REF!</definedName>
    <definedName name="FM_Cert_Types">'Basic Calculator'!#REF!</definedName>
    <definedName name="FM_Costs_Lookup">#REF!</definedName>
    <definedName name="FM_Type" localSheetId="3">'Basic Calculator'!#REF!</definedName>
    <definedName name="Inflation_Rate">Inflation!$B$1</definedName>
    <definedName name="Min_CoC_Fee">'Basic Calculator'!$C$46</definedName>
    <definedName name="Processor_to_Trader_Conversion">Inflation!$B$21</definedName>
    <definedName name="Turnover_Bands_Min">Base_Costs[Turnover (Min) (USD)]</definedName>
    <definedName name="Variable_Costs_Lookup">Variable_Costs[[AAF Class]:[Trader (USD)]]</definedName>
    <definedName name="_xlnm.Print_Area" localSheetId="2">'Gelir Bildirimi'!$A$1:$H$28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4" i="9" l="1"/>
  <c r="D23" i="9"/>
  <c r="D12" i="9"/>
  <c r="D11" i="9"/>
  <c r="C12" i="4" a="1"/>
  <c r="C12" i="4"/>
  <c r="F3" i="5" l="1" a="1"/>
  <c r="F3" i="5" s="1"/>
  <c r="I3" i="5" s="1"/>
  <c r="F4" i="5" a="1"/>
  <c r="F4" i="5" s="1"/>
  <c r="F5" i="5" a="1"/>
  <c r="F5" i="5" s="1"/>
  <c r="F6" i="5" a="1"/>
  <c r="F6" i="5"/>
  <c r="I6" i="5" s="1"/>
  <c r="F7" i="5" a="1"/>
  <c r="F7" i="5" s="1"/>
  <c r="F8" i="5" a="1"/>
  <c r="F8" i="5" s="1"/>
  <c r="F9" i="5" a="1"/>
  <c r="F9" i="5" s="1"/>
  <c r="I9" i="5" s="1"/>
  <c r="F10" i="5" a="1"/>
  <c r="F10" i="5"/>
  <c r="F11" i="5" a="1"/>
  <c r="F11" i="5" s="1"/>
  <c r="F12" i="5" a="1"/>
  <c r="F12" i="5" s="1"/>
  <c r="I12" i="5" s="1"/>
  <c r="F13" i="5" a="1"/>
  <c r="F13" i="5" s="1"/>
  <c r="F14" i="5" a="1"/>
  <c r="F14" i="5"/>
  <c r="F15" i="5" a="1"/>
  <c r="F15" i="5" s="1"/>
  <c r="I15" i="5" s="1"/>
  <c r="F16" i="5" a="1"/>
  <c r="F16" i="5" s="1"/>
  <c r="F17" i="5" a="1"/>
  <c r="F17" i="5" s="1"/>
  <c r="F18" i="5" a="1"/>
  <c r="F18" i="5"/>
  <c r="I18" i="5" s="1"/>
  <c r="F19" i="5" a="1"/>
  <c r="F19" i="5" s="1"/>
  <c r="F20" i="5" a="1"/>
  <c r="F20" i="5" s="1"/>
  <c r="F21" i="5" a="1"/>
  <c r="F21" i="5" s="1"/>
  <c r="I21" i="5" s="1"/>
  <c r="F22" i="5" a="1"/>
  <c r="F22" i="5"/>
  <c r="F23" i="5" a="1"/>
  <c r="F23" i="5" s="1"/>
  <c r="F24" i="5" a="1"/>
  <c r="F24" i="5" s="1"/>
  <c r="I24" i="5" s="1"/>
  <c r="F25" i="5" a="1"/>
  <c r="F25" i="5" s="1"/>
  <c r="F26" i="5" a="1"/>
  <c r="F26" i="5"/>
  <c r="F27" i="5" a="1"/>
  <c r="F27" i="5" s="1"/>
  <c r="I27" i="5" s="1"/>
  <c r="F28" i="5" a="1"/>
  <c r="F28" i="5" s="1"/>
  <c r="F29" i="5" a="1"/>
  <c r="F29" i="5" s="1"/>
  <c r="F30" i="5" a="1"/>
  <c r="F30" i="5"/>
  <c r="I30" i="5" s="1"/>
  <c r="F31" i="5" a="1"/>
  <c r="F31" i="5" s="1"/>
  <c r="F32" i="5" a="1"/>
  <c r="F32" i="5" s="1"/>
  <c r="F33" i="5" a="1"/>
  <c r="F33" i="5" s="1"/>
  <c r="I33" i="5" s="1"/>
  <c r="F34" i="5" a="1"/>
  <c r="F34" i="5"/>
  <c r="F35" i="5" a="1"/>
  <c r="F35" i="5" s="1"/>
  <c r="F36" i="5" a="1"/>
  <c r="F36" i="5" s="1"/>
  <c r="I36" i="5" s="1"/>
  <c r="F37" i="5" a="1"/>
  <c r="F37" i="5" s="1"/>
  <c r="F38" i="5" a="1"/>
  <c r="F38" i="5"/>
  <c r="F39" i="5" a="1"/>
  <c r="F39" i="5" s="1"/>
  <c r="I39" i="5" s="1"/>
  <c r="F40" i="5" a="1"/>
  <c r="F40" i="5" s="1"/>
  <c r="F41" i="5" a="1"/>
  <c r="F41" i="5" s="1"/>
  <c r="F42" i="5" a="1"/>
  <c r="F42" i="5"/>
  <c r="F43" i="5" a="1"/>
  <c r="F43" i="5" s="1"/>
  <c r="I43" i="5" s="1"/>
  <c r="F44" i="5" a="1"/>
  <c r="F44" i="5" s="1"/>
  <c r="F45" i="5" a="1"/>
  <c r="F45" i="5" s="1"/>
  <c r="F46" i="5" a="1"/>
  <c r="F46" i="5"/>
  <c r="I46" i="5" s="1"/>
  <c r="F47" i="5" a="1"/>
  <c r="F47" i="5" s="1"/>
  <c r="F48" i="5" a="1"/>
  <c r="F48" i="5" s="1"/>
  <c r="F49" i="5" a="1"/>
  <c r="F49" i="5" s="1"/>
  <c r="F50" i="5" a="1"/>
  <c r="F50" i="5"/>
  <c r="I50" i="5" s="1"/>
  <c r="F51" i="5" a="1"/>
  <c r="F51" i="5" s="1"/>
  <c r="F2" i="5" a="1"/>
  <c r="F2" i="5" s="1"/>
  <c r="E3" i="5" a="1"/>
  <c r="E3" i="5"/>
  <c r="E4" i="5" a="1"/>
  <c r="E4" i="5" s="1"/>
  <c r="H4" i="5" s="1"/>
  <c r="E5" i="5" a="1"/>
  <c r="E5" i="5" s="1"/>
  <c r="E6" i="5" a="1"/>
  <c r="E6" i="5"/>
  <c r="E7" i="5" a="1"/>
  <c r="E7" i="5"/>
  <c r="H7" i="5" s="1"/>
  <c r="E8" i="5" a="1"/>
  <c r="E8" i="5" s="1"/>
  <c r="E9" i="5" a="1"/>
  <c r="E9" i="5" s="1"/>
  <c r="E10" i="5" a="1"/>
  <c r="E10" i="5"/>
  <c r="H10" i="5" s="1"/>
  <c r="E11" i="5" a="1"/>
  <c r="E11" i="5" s="1"/>
  <c r="E12" i="5" a="1"/>
  <c r="E12" i="5" s="1"/>
  <c r="E13" i="5" a="1"/>
  <c r="E13" i="5" s="1"/>
  <c r="H13" i="5" s="1"/>
  <c r="E14" i="5" a="1"/>
  <c r="E14" i="5"/>
  <c r="E15" i="5" a="1"/>
  <c r="E15" i="5" s="1"/>
  <c r="E16" i="5" a="1"/>
  <c r="E16" i="5" s="1"/>
  <c r="H16" i="5" s="1"/>
  <c r="E17" i="5" a="1"/>
  <c r="E17" i="5" s="1"/>
  <c r="E18" i="5" a="1"/>
  <c r="E18" i="5"/>
  <c r="E19" i="5" a="1"/>
  <c r="E19" i="5" s="1"/>
  <c r="H19" i="5" s="1"/>
  <c r="E20" i="5" a="1"/>
  <c r="E20" i="5" s="1"/>
  <c r="E21" i="5" a="1"/>
  <c r="E21" i="5" s="1"/>
  <c r="E22" i="5" a="1"/>
  <c r="E22" i="5"/>
  <c r="H22" i="5" s="1"/>
  <c r="E23" i="5" a="1"/>
  <c r="E23" i="5" s="1"/>
  <c r="E24" i="5" a="1"/>
  <c r="E24" i="5" s="1"/>
  <c r="E25" i="5" a="1"/>
  <c r="E25" i="5" s="1"/>
  <c r="H25" i="5" s="1"/>
  <c r="E26" i="5" a="1"/>
  <c r="E26" i="5"/>
  <c r="E27" i="5" a="1"/>
  <c r="E27" i="5" s="1"/>
  <c r="E28" i="5" a="1"/>
  <c r="E28" i="5" s="1"/>
  <c r="H28" i="5" s="1"/>
  <c r="E29" i="5" a="1"/>
  <c r="E29" i="5" s="1"/>
  <c r="E30" i="5" a="1"/>
  <c r="E30" i="5"/>
  <c r="E31" i="5" a="1"/>
  <c r="E31" i="5" s="1"/>
  <c r="H31" i="5" s="1"/>
  <c r="E32" i="5" a="1"/>
  <c r="E32" i="5" s="1"/>
  <c r="E33" i="5" a="1"/>
  <c r="E33" i="5" s="1"/>
  <c r="E34" i="5" a="1"/>
  <c r="E34" i="5"/>
  <c r="H34" i="5" s="1"/>
  <c r="E35" i="5" a="1"/>
  <c r="E35" i="5" s="1"/>
  <c r="E36" i="5" a="1"/>
  <c r="E36" i="5" s="1"/>
  <c r="E37" i="5" a="1"/>
  <c r="E37" i="5" s="1"/>
  <c r="H37" i="5" s="1"/>
  <c r="E38" i="5" a="1"/>
  <c r="E38" i="5"/>
  <c r="E39" i="5" a="1"/>
  <c r="E39" i="5" s="1"/>
  <c r="E40" i="5" a="1"/>
  <c r="E40" i="5" s="1"/>
  <c r="E41" i="5" a="1"/>
  <c r="E41" i="5" s="1"/>
  <c r="H41" i="5" s="1"/>
  <c r="E42" i="5" a="1"/>
  <c r="E42" i="5"/>
  <c r="E43" i="5" a="1"/>
  <c r="E43" i="5" s="1"/>
  <c r="E44" i="5" a="1"/>
  <c r="E44" i="5" s="1"/>
  <c r="H44" i="5" s="1"/>
  <c r="E45" i="5" a="1"/>
  <c r="E45" i="5" s="1"/>
  <c r="E46" i="5" a="1"/>
  <c r="E46" i="5"/>
  <c r="E47" i="5" a="1"/>
  <c r="E47" i="5" s="1"/>
  <c r="E48" i="5" a="1"/>
  <c r="E48" i="5" s="1"/>
  <c r="H48" i="5" s="1"/>
  <c r="E49" i="5" a="1"/>
  <c r="E49" i="5" s="1"/>
  <c r="E50" i="5" a="1"/>
  <c r="E50" i="5"/>
  <c r="E51" i="5" a="1"/>
  <c r="E51" i="5" s="1"/>
  <c r="E2" i="5" a="1"/>
  <c r="E2" i="5" s="1"/>
  <c r="D3" i="2" a="1"/>
  <c r="D3" i="2"/>
  <c r="D4" i="2" a="1"/>
  <c r="D4" i="2" s="1"/>
  <c r="D5" i="2" a="1"/>
  <c r="D5" i="2" s="1"/>
  <c r="D6" i="2" a="1"/>
  <c r="D6" i="2" s="1"/>
  <c r="D7" i="2" a="1"/>
  <c r="D7" i="2"/>
  <c r="D8" i="2" a="1"/>
  <c r="D8" i="2" s="1"/>
  <c r="D9" i="2" a="1"/>
  <c r="D9" i="2" s="1"/>
  <c r="D10" i="2" a="1"/>
  <c r="D10" i="2" s="1"/>
  <c r="D11" i="2" a="1"/>
  <c r="D11" i="2"/>
  <c r="D12" i="2" a="1"/>
  <c r="D12" i="2" s="1"/>
  <c r="D13" i="2" a="1"/>
  <c r="D13" i="2" s="1"/>
  <c r="D14" i="2" a="1"/>
  <c r="D14" i="2" s="1"/>
  <c r="D15" i="2" a="1"/>
  <c r="D15" i="2" s="1"/>
  <c r="D16" i="2" a="1"/>
  <c r="D16" i="2" s="1"/>
  <c r="D17" i="2" a="1"/>
  <c r="D17" i="2" s="1"/>
  <c r="D18" i="2" a="1"/>
  <c r="D18" i="2" s="1"/>
  <c r="D19" i="2" a="1"/>
  <c r="D19" i="2"/>
  <c r="D20" i="2" a="1"/>
  <c r="D20" i="2" s="1"/>
  <c r="D21" i="2" a="1"/>
  <c r="D21" i="2" s="1"/>
  <c r="D22" i="2" a="1"/>
  <c r="D22" i="2" s="1"/>
  <c r="D23" i="2" a="1"/>
  <c r="D23" i="2"/>
  <c r="D24" i="2" a="1"/>
  <c r="D24" i="2" s="1"/>
  <c r="D25" i="2" a="1"/>
  <c r="D25" i="2" s="1"/>
  <c r="D26" i="2" a="1"/>
  <c r="D26" i="2" s="1"/>
  <c r="D27" i="2" a="1"/>
  <c r="D27" i="2" s="1"/>
  <c r="D28" i="2" a="1"/>
  <c r="D28" i="2" s="1"/>
  <c r="D29" i="2" a="1"/>
  <c r="D29" i="2" s="1"/>
  <c r="D30" i="2" a="1"/>
  <c r="D30" i="2" s="1"/>
  <c r="D31" i="2" a="1"/>
  <c r="D31" i="2"/>
  <c r="D32" i="2" a="1"/>
  <c r="D32" i="2" s="1"/>
  <c r="D33" i="2" a="1"/>
  <c r="D33" i="2" s="1"/>
  <c r="D34" i="2" a="1"/>
  <c r="D34" i="2" s="1"/>
  <c r="D35" i="2" a="1"/>
  <c r="D35" i="2"/>
  <c r="D36" i="2" a="1"/>
  <c r="D36" i="2" s="1"/>
  <c r="D37" i="2" a="1"/>
  <c r="D37" i="2" s="1"/>
  <c r="D38" i="2" a="1"/>
  <c r="D38" i="2" s="1"/>
  <c r="D39" i="2" a="1"/>
  <c r="D39" i="2"/>
  <c r="D40" i="2" a="1"/>
  <c r="D40" i="2" s="1"/>
  <c r="D41" i="2" a="1"/>
  <c r="D41" i="2" s="1"/>
  <c r="D42" i="2" a="1"/>
  <c r="D42" i="2" s="1"/>
  <c r="D43" i="2" a="1"/>
  <c r="D43" i="2"/>
  <c r="D44" i="2" a="1"/>
  <c r="D44" i="2" s="1"/>
  <c r="D45" i="2" a="1"/>
  <c r="D45" i="2" s="1"/>
  <c r="D46" i="2" a="1"/>
  <c r="D46" i="2" s="1"/>
  <c r="D47" i="2" a="1"/>
  <c r="D47" i="2"/>
  <c r="D48" i="2" a="1"/>
  <c r="D48" i="2" s="1"/>
  <c r="D49" i="2" a="1"/>
  <c r="D49" i="2" s="1"/>
  <c r="D50" i="2" a="1"/>
  <c r="D50" i="2" s="1"/>
  <c r="D51" i="2" a="1"/>
  <c r="D51" i="2"/>
  <c r="D52" i="2" a="1"/>
  <c r="D52" i="2" s="1"/>
  <c r="D53" i="2" a="1"/>
  <c r="D53" i="2" s="1"/>
  <c r="D54" i="2" a="1"/>
  <c r="D54" i="2" s="1"/>
  <c r="D55" i="2" a="1"/>
  <c r="D55" i="2"/>
  <c r="D56" i="2" a="1"/>
  <c r="D56" i="2" s="1"/>
  <c r="D57" i="2" a="1"/>
  <c r="D57" i="2" s="1"/>
  <c r="D58" i="2" a="1"/>
  <c r="D58" i="2" s="1"/>
  <c r="D59" i="2" a="1"/>
  <c r="D59" i="2"/>
  <c r="D60" i="2" a="1"/>
  <c r="D60" i="2" s="1"/>
  <c r="D61" i="2" a="1"/>
  <c r="D61" i="2" s="1"/>
  <c r="D62" i="2" a="1"/>
  <c r="D62" i="2" s="1"/>
  <c r="D63" i="2" a="1"/>
  <c r="D63" i="2"/>
  <c r="D64" i="2" a="1"/>
  <c r="D64" i="2" s="1"/>
  <c r="D65" i="2" a="1"/>
  <c r="D65" i="2" s="1"/>
  <c r="D66" i="2" a="1"/>
  <c r="D66" i="2" s="1"/>
  <c r="D67" i="2" a="1"/>
  <c r="D67" i="2"/>
  <c r="D68" i="2" a="1"/>
  <c r="D68" i="2" s="1"/>
  <c r="D69" i="2" a="1"/>
  <c r="D69" i="2" s="1"/>
  <c r="D70" i="2" a="1"/>
  <c r="D70" i="2" s="1"/>
  <c r="D71" i="2" a="1"/>
  <c r="D71" i="2"/>
  <c r="D72" i="2" a="1"/>
  <c r="D72" i="2" s="1"/>
  <c r="D73" i="2" a="1"/>
  <c r="D73" i="2" s="1"/>
  <c r="D74" i="2" a="1"/>
  <c r="D74" i="2" s="1"/>
  <c r="D75" i="2" a="1"/>
  <c r="D75" i="2"/>
  <c r="D76" i="2" a="1"/>
  <c r="D76" i="2" s="1"/>
  <c r="D77" i="2" a="1"/>
  <c r="D77" i="2" s="1"/>
  <c r="D78" i="2" a="1"/>
  <c r="D78" i="2" s="1"/>
  <c r="D79" i="2" a="1"/>
  <c r="D79" i="2"/>
  <c r="D80" i="2" a="1"/>
  <c r="D80" i="2" s="1"/>
  <c r="D81" i="2" a="1"/>
  <c r="D81" i="2" s="1"/>
  <c r="D82" i="2" a="1"/>
  <c r="D82" i="2" s="1"/>
  <c r="D83" i="2" a="1"/>
  <c r="D83" i="2"/>
  <c r="D84" i="2" a="1"/>
  <c r="D84" i="2" s="1"/>
  <c r="D85" i="2" a="1"/>
  <c r="D85" i="2" s="1"/>
  <c r="D86" i="2" a="1"/>
  <c r="D86" i="2" s="1"/>
  <c r="D87" i="2" a="1"/>
  <c r="D87" i="2"/>
  <c r="D88" i="2" a="1"/>
  <c r="D88" i="2" s="1"/>
  <c r="D89" i="2" a="1"/>
  <c r="D89" i="2" s="1"/>
  <c r="D90" i="2" a="1"/>
  <c r="D90" i="2" s="1"/>
  <c r="D91" i="2" a="1"/>
  <c r="D91" i="2"/>
  <c r="D92" i="2" a="1"/>
  <c r="D92" i="2" s="1"/>
  <c r="D93" i="2" a="1"/>
  <c r="D93" i="2" s="1"/>
  <c r="D94" i="2" a="1"/>
  <c r="D94" i="2" s="1"/>
  <c r="D95" i="2" a="1"/>
  <c r="D95" i="2"/>
  <c r="D96" i="2" a="1"/>
  <c r="D96" i="2" s="1"/>
  <c r="D97" i="2" a="1"/>
  <c r="D97" i="2" s="1"/>
  <c r="D98" i="2" a="1"/>
  <c r="D98" i="2" s="1"/>
  <c r="D99" i="2" a="1"/>
  <c r="D99" i="2"/>
  <c r="D100" i="2" a="1"/>
  <c r="D100" i="2" s="1"/>
  <c r="D2" i="2" a="1"/>
  <c r="D2" i="2" s="1"/>
  <c r="D12" i="4" a="1"/>
  <c r="D12" i="4" s="1"/>
  <c r="C8" i="1" a="1"/>
  <c r="C8" i="1" s="1"/>
  <c r="E22" i="1" l="1"/>
  <c r="F3" i="2" l="1"/>
  <c r="F4" i="2"/>
  <c r="F5" i="2"/>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2" i="2"/>
  <c r="C13" i="1"/>
  <c r="C26" i="1" a="1"/>
  <c r="C26" i="1" s="1"/>
  <c r="C41" i="1" s="1"/>
  <c r="C58" i="8"/>
  <c r="C57" i="8"/>
  <c r="C56" i="8"/>
  <c r="C55" i="8"/>
  <c r="C54" i="8"/>
  <c r="C53" i="8"/>
  <c r="C52" i="8"/>
  <c r="C51" i="8"/>
  <c r="C50" i="8"/>
  <c r="C49" i="8"/>
  <c r="C48" i="8"/>
  <c r="C47" i="8"/>
  <c r="C46" i="8"/>
  <c r="C45" i="8"/>
  <c r="E6" i="8"/>
  <c r="E31" i="8" s="1"/>
  <c r="E7" i="8"/>
  <c r="D33" i="1" s="1"/>
  <c r="E8" i="8"/>
  <c r="D34" i="1" s="1"/>
  <c r="E9" i="8"/>
  <c r="E10" i="8"/>
  <c r="D36" i="1" s="1"/>
  <c r="E11" i="8"/>
  <c r="D36" i="8" s="1"/>
  <c r="E12" i="8"/>
  <c r="E38" i="1" s="1"/>
  <c r="E13" i="8"/>
  <c r="C46" i="1" s="1"/>
  <c r="C47" i="1" s="1"/>
  <c r="E14" i="8"/>
  <c r="C59" i="4" s="1"/>
  <c r="E15" i="8"/>
  <c r="E16" i="8"/>
  <c r="E17" i="8"/>
  <c r="D38" i="1"/>
  <c r="E18" i="1"/>
  <c r="D18" i="1"/>
  <c r="D24" i="8"/>
  <c r="D38" i="8"/>
  <c r="H53" i="2" a="1"/>
  <c r="H53" i="2" s="1"/>
  <c r="H54" i="2" a="1"/>
  <c r="H54" i="2" s="1"/>
  <c r="H56" i="2" a="1"/>
  <c r="H56" i="2" s="1"/>
  <c r="H64" i="2" a="1"/>
  <c r="H64" i="2" s="1"/>
  <c r="H72" i="2" a="1"/>
  <c r="H72" i="2" s="1"/>
  <c r="H80" i="2" a="1"/>
  <c r="H80" i="2" s="1"/>
  <c r="J3" i="5" a="1"/>
  <c r="J3" i="5" s="1"/>
  <c r="L3" i="5" s="1"/>
  <c r="J4" i="5" a="1"/>
  <c r="J4" i="5" s="1"/>
  <c r="L4" i="5" s="1"/>
  <c r="J6" i="5" a="1"/>
  <c r="J6" i="5" s="1"/>
  <c r="L6" i="5" s="1"/>
  <c r="O6" i="5"/>
  <c r="J7" i="5" a="1"/>
  <c r="J7" i="5" s="1"/>
  <c r="L7" i="5" s="1"/>
  <c r="J8" i="5" a="1"/>
  <c r="J8" i="5" s="1"/>
  <c r="L8" i="5" s="1"/>
  <c r="J10" i="5" a="1"/>
  <c r="J10" i="5" s="1"/>
  <c r="L10" i="5" s="1"/>
  <c r="J11" i="5" a="1"/>
  <c r="J11" i="5" s="1"/>
  <c r="L11" i="5" s="1"/>
  <c r="J12" i="5" a="1"/>
  <c r="J12" i="5" s="1"/>
  <c r="L12" i="5" s="1"/>
  <c r="O12" i="5"/>
  <c r="J14" i="5" a="1"/>
  <c r="J14" i="5" s="1"/>
  <c r="L14" i="5" s="1"/>
  <c r="J15" i="5" a="1"/>
  <c r="J15" i="5" s="1"/>
  <c r="L15" i="5" s="1"/>
  <c r="J16" i="5" a="1"/>
  <c r="J16" i="5" s="1"/>
  <c r="L16" i="5" s="1"/>
  <c r="J18" i="5" a="1"/>
  <c r="J18" i="5" s="1"/>
  <c r="L18" i="5" s="1"/>
  <c r="O18" i="5"/>
  <c r="J19" i="5" a="1"/>
  <c r="J19" i="5" s="1"/>
  <c r="L19" i="5" s="1"/>
  <c r="J20" i="5" a="1"/>
  <c r="J20" i="5" s="1"/>
  <c r="L20" i="5" s="1"/>
  <c r="J22" i="5" a="1"/>
  <c r="J22" i="5" s="1"/>
  <c r="L22" i="5" s="1"/>
  <c r="J23" i="5" a="1"/>
  <c r="J23" i="5" s="1"/>
  <c r="L23" i="5" s="1"/>
  <c r="J24" i="5" a="1"/>
  <c r="J24" i="5" s="1"/>
  <c r="L24" i="5" s="1"/>
  <c r="O24" i="5"/>
  <c r="J26" i="5" a="1"/>
  <c r="J26" i="5" s="1"/>
  <c r="L26" i="5" s="1"/>
  <c r="J27" i="5" a="1"/>
  <c r="J27" i="5" s="1"/>
  <c r="L27" i="5" s="1"/>
  <c r="J28" i="5" a="1"/>
  <c r="J28" i="5" s="1"/>
  <c r="L28" i="5" s="1"/>
  <c r="J30" i="5" a="1"/>
  <c r="J30" i="5" s="1"/>
  <c r="L30" i="5" s="1"/>
  <c r="O30" i="5"/>
  <c r="J31" i="5" a="1"/>
  <c r="J31" i="5" s="1"/>
  <c r="L31" i="5" s="1"/>
  <c r="J32" i="5" a="1"/>
  <c r="J32" i="5" s="1"/>
  <c r="L32" i="5" s="1"/>
  <c r="J34" i="5" a="1"/>
  <c r="J34" i="5" s="1"/>
  <c r="L34" i="5" s="1"/>
  <c r="J35" i="5" a="1"/>
  <c r="J35" i="5" s="1"/>
  <c r="L35" i="5" s="1"/>
  <c r="J36" i="5" a="1"/>
  <c r="J36" i="5" s="1"/>
  <c r="L36" i="5" s="1"/>
  <c r="J38" i="5" a="1"/>
  <c r="J38" i="5" s="1"/>
  <c r="L38" i="5" s="1"/>
  <c r="J39" i="5" a="1"/>
  <c r="J39" i="5" s="1"/>
  <c r="L39" i="5" s="1"/>
  <c r="O39" i="5"/>
  <c r="J40" i="5" a="1"/>
  <c r="J40" i="5" s="1"/>
  <c r="L40" i="5" s="1"/>
  <c r="J42" i="5" a="1"/>
  <c r="J42" i="5" s="1"/>
  <c r="L42" i="5" s="1"/>
  <c r="J43" i="5" a="1"/>
  <c r="J43" i="5" s="1"/>
  <c r="L43" i="5" s="1"/>
  <c r="O43" i="5"/>
  <c r="J44" i="5" a="1"/>
  <c r="J44" i="5" s="1"/>
  <c r="L44" i="5" s="1"/>
  <c r="J46" i="5" a="1"/>
  <c r="J46" i="5" s="1"/>
  <c r="L46" i="5" s="1"/>
  <c r="O46" i="5"/>
  <c r="J47" i="5" a="1"/>
  <c r="J47" i="5" s="1"/>
  <c r="L47" i="5" s="1"/>
  <c r="J48" i="5" a="1"/>
  <c r="J48" i="5" s="1"/>
  <c r="L48" i="5" s="1"/>
  <c r="J50" i="5" a="1"/>
  <c r="J50" i="5" s="1"/>
  <c r="L50" i="5" s="1"/>
  <c r="O50" i="5"/>
  <c r="J51" i="5" a="1"/>
  <c r="J51" i="5" s="1"/>
  <c r="L51" i="5" s="1"/>
  <c r="J2" i="5" a="1"/>
  <c r="J2" i="5" s="1"/>
  <c r="L2" i="5" s="1"/>
  <c r="H5" i="2" a="1"/>
  <c r="H5" i="2" s="1"/>
  <c r="H6" i="2" a="1"/>
  <c r="H6" i="2" s="1"/>
  <c r="H9" i="2" a="1"/>
  <c r="H9" i="2" s="1"/>
  <c r="I9" i="2" s="1"/>
  <c r="H10" i="2" a="1"/>
  <c r="H10" i="2" s="1"/>
  <c r="H13" i="2" a="1"/>
  <c r="H13" i="2" s="1"/>
  <c r="H14" i="2" a="1"/>
  <c r="H14" i="2" s="1"/>
  <c r="H17" i="2" a="1"/>
  <c r="H17" i="2" s="1"/>
  <c r="I17" i="2" s="1"/>
  <c r="H18" i="2" a="1"/>
  <c r="H18" i="2" s="1"/>
  <c r="H21" i="2" a="1"/>
  <c r="H21" i="2" s="1"/>
  <c r="H22" i="2" a="1"/>
  <c r="H22" i="2" s="1"/>
  <c r="H25" i="2" a="1"/>
  <c r="H25" i="2" s="1"/>
  <c r="I25" i="2" s="1"/>
  <c r="H26" i="2" a="1"/>
  <c r="H26" i="2" s="1"/>
  <c r="H29" i="2" a="1"/>
  <c r="H29" i="2" s="1"/>
  <c r="H30" i="2" a="1"/>
  <c r="H30" i="2" s="1"/>
  <c r="H33" i="2" a="1"/>
  <c r="H33" i="2" s="1"/>
  <c r="I33" i="2" s="1"/>
  <c r="H34" i="2" a="1"/>
  <c r="H34" i="2" s="1"/>
  <c r="H37" i="2" a="1"/>
  <c r="H37" i="2" s="1"/>
  <c r="H38" i="2" a="1"/>
  <c r="H38" i="2" s="1"/>
  <c r="H41" i="2" a="1"/>
  <c r="H41" i="2" s="1"/>
  <c r="I41" i="2" s="1"/>
  <c r="H42" i="2" a="1"/>
  <c r="H42" i="2" s="1"/>
  <c r="H45" i="2" a="1"/>
  <c r="H45" i="2" s="1"/>
  <c r="H46" i="2" a="1"/>
  <c r="H46" i="2" s="1"/>
  <c r="H49" i="2" a="1"/>
  <c r="H49" i="2" s="1"/>
  <c r="I49" i="2" s="1"/>
  <c r="H50" i="2" a="1"/>
  <c r="H50" i="2" s="1"/>
  <c r="H11" i="5" l="1"/>
  <c r="H9" i="5"/>
  <c r="H8" i="5"/>
  <c r="H6" i="5"/>
  <c r="H5" i="5"/>
  <c r="H3" i="5"/>
  <c r="I11" i="5"/>
  <c r="I10" i="5"/>
  <c r="I8" i="5"/>
  <c r="I7" i="5"/>
  <c r="I5" i="5"/>
  <c r="I4" i="5"/>
  <c r="K48" i="5" a="1"/>
  <c r="K48" i="5" s="1"/>
  <c r="M48" i="5" s="1"/>
  <c r="K44" i="5" a="1"/>
  <c r="K44" i="5" s="1"/>
  <c r="M44" i="5" s="1"/>
  <c r="K40" i="5" a="1"/>
  <c r="K40" i="5" s="1"/>
  <c r="M40" i="5" s="1"/>
  <c r="K36" i="5" a="1"/>
  <c r="K36" i="5" s="1"/>
  <c r="M36" i="5" s="1"/>
  <c r="O36" i="5"/>
  <c r="O33" i="5"/>
  <c r="K27" i="5" a="1"/>
  <c r="K27" i="5" s="1"/>
  <c r="M27" i="5" s="1"/>
  <c r="O27" i="5"/>
  <c r="K23" i="5" a="1"/>
  <c r="K23" i="5" s="1"/>
  <c r="M23" i="5" s="1"/>
  <c r="O21" i="5"/>
  <c r="K19" i="5" a="1"/>
  <c r="K19" i="5" s="1"/>
  <c r="M19" i="5" s="1"/>
  <c r="K15" i="5" a="1"/>
  <c r="K15" i="5" s="1"/>
  <c r="M15" i="5" s="1"/>
  <c r="O15" i="5"/>
  <c r="K11" i="5" a="1"/>
  <c r="K11" i="5" s="1"/>
  <c r="M11" i="5" s="1"/>
  <c r="O9" i="5"/>
  <c r="K7" i="5" a="1"/>
  <c r="K7" i="5" s="1"/>
  <c r="M7" i="5" s="1"/>
  <c r="K3" i="5" a="1"/>
  <c r="K3" i="5" s="1"/>
  <c r="M3" i="5" s="1"/>
  <c r="O3" i="5"/>
  <c r="K2" i="5" a="1"/>
  <c r="K2" i="5" s="1"/>
  <c r="M2" i="5" s="1"/>
  <c r="I72" i="2"/>
  <c r="I64" i="2"/>
  <c r="I56" i="2"/>
  <c r="I34" i="2"/>
  <c r="I54" i="2"/>
  <c r="I46" i="2"/>
  <c r="I38" i="2"/>
  <c r="I30" i="2"/>
  <c r="I22" i="2"/>
  <c r="I14" i="2"/>
  <c r="G6" i="2"/>
  <c r="I53" i="2"/>
  <c r="I45" i="2"/>
  <c r="I37" i="2"/>
  <c r="I29" i="2"/>
  <c r="I21" i="2"/>
  <c r="I13" i="2"/>
  <c r="I5" i="2"/>
  <c r="I10" i="2"/>
  <c r="I50" i="2"/>
  <c r="I42" i="2"/>
  <c r="I26" i="2"/>
  <c r="I18" i="2"/>
  <c r="I80" i="2"/>
  <c r="G7" i="2"/>
  <c r="I6" i="2"/>
  <c r="G5" i="2"/>
  <c r="G3" i="2"/>
  <c r="G10" i="2"/>
  <c r="D32" i="1"/>
  <c r="G4" i="2"/>
  <c r="G9" i="2"/>
  <c r="G8" i="2"/>
  <c r="D37" i="1"/>
  <c r="G2" i="2"/>
  <c r="H2" i="2" a="1"/>
  <c r="H2" i="2" s="1"/>
  <c r="I2" i="2" s="1"/>
  <c r="E36" i="1"/>
  <c r="D37" i="8"/>
  <c r="D34" i="8"/>
  <c r="E35" i="1"/>
  <c r="D35" i="1"/>
  <c r="E37" i="1"/>
  <c r="H93" i="2" a="1"/>
  <c r="H93" i="2" s="1"/>
  <c r="I93" i="2" s="1"/>
  <c r="H96" i="2" a="1"/>
  <c r="H96" i="2" s="1"/>
  <c r="I96" i="2" s="1"/>
  <c r="H94" i="2" a="1"/>
  <c r="H94" i="2" s="1"/>
  <c r="I94" i="2" s="1"/>
  <c r="H88" i="2" a="1"/>
  <c r="H88" i="2" s="1"/>
  <c r="I88" i="2" s="1"/>
  <c r="H85" i="2" a="1"/>
  <c r="H85" i="2" s="1"/>
  <c r="I85" i="2" s="1"/>
  <c r="H77" i="2" a="1"/>
  <c r="H77" i="2" s="1"/>
  <c r="I77" i="2" s="1"/>
  <c r="H69" i="2" a="1"/>
  <c r="H69" i="2" s="1"/>
  <c r="I69" i="2" s="1"/>
  <c r="H86" i="2" a="1"/>
  <c r="H86" i="2" s="1"/>
  <c r="I86" i="2" s="1"/>
  <c r="H78" i="2" a="1"/>
  <c r="H78" i="2" s="1"/>
  <c r="I78" i="2" s="1"/>
  <c r="H70" i="2" a="1"/>
  <c r="H70" i="2" s="1"/>
  <c r="I70" i="2" s="1"/>
  <c r="H62" i="2" a="1"/>
  <c r="H62" i="2" s="1"/>
  <c r="I62" i="2" s="1"/>
  <c r="H61" i="2" a="1"/>
  <c r="H61" i="2" s="1"/>
  <c r="I61" i="2" s="1"/>
  <c r="H52" i="2" a="1"/>
  <c r="H52" i="2" s="1"/>
  <c r="I52" i="2" s="1"/>
  <c r="H99" i="2" a="1"/>
  <c r="H99" i="2" s="1"/>
  <c r="I99" i="2" s="1"/>
  <c r="H91" i="2" a="1"/>
  <c r="H91" i="2" s="1"/>
  <c r="I91" i="2" s="1"/>
  <c r="H83" i="2" a="1"/>
  <c r="H83" i="2" s="1"/>
  <c r="I83" i="2" s="1"/>
  <c r="H75" i="2" a="1"/>
  <c r="H75" i="2" s="1"/>
  <c r="I75" i="2" s="1"/>
  <c r="H67" i="2" a="1"/>
  <c r="H67" i="2" s="1"/>
  <c r="I67" i="2" s="1"/>
  <c r="H59" i="2" a="1"/>
  <c r="H59" i="2" s="1"/>
  <c r="I59" i="2" s="1"/>
  <c r="H92" i="2" a="1"/>
  <c r="H92" i="2" s="1"/>
  <c r="I92" i="2" s="1"/>
  <c r="H84" i="2" a="1"/>
  <c r="H84" i="2" s="1"/>
  <c r="I84" i="2" s="1"/>
  <c r="H76" i="2" a="1"/>
  <c r="H76" i="2" s="1"/>
  <c r="I76" i="2" s="1"/>
  <c r="H68" i="2" a="1"/>
  <c r="H68" i="2" s="1"/>
  <c r="I68" i="2" s="1"/>
  <c r="H60" i="2" a="1"/>
  <c r="H60" i="2" s="1"/>
  <c r="I60" i="2" s="1"/>
  <c r="H98" i="2" a="1"/>
  <c r="H98" i="2" s="1"/>
  <c r="I98" i="2" s="1"/>
  <c r="H97" i="2" a="1"/>
  <c r="H97" i="2" s="1"/>
  <c r="I97" i="2" s="1"/>
  <c r="H90" i="2" a="1"/>
  <c r="H90" i="2" s="1"/>
  <c r="I90" i="2" s="1"/>
  <c r="H89" i="2" a="1"/>
  <c r="H89" i="2" s="1"/>
  <c r="I89" i="2" s="1"/>
  <c r="H82" i="2" a="1"/>
  <c r="H82" i="2" s="1"/>
  <c r="I82" i="2" s="1"/>
  <c r="H81" i="2" a="1"/>
  <c r="H81" i="2" s="1"/>
  <c r="I81" i="2" s="1"/>
  <c r="H74" i="2" a="1"/>
  <c r="H74" i="2" s="1"/>
  <c r="I74" i="2" s="1"/>
  <c r="H73" i="2" a="1"/>
  <c r="H73" i="2" s="1"/>
  <c r="I73" i="2" s="1"/>
  <c r="H66" i="2" a="1"/>
  <c r="H66" i="2" s="1"/>
  <c r="I66" i="2" s="1"/>
  <c r="H65" i="2" a="1"/>
  <c r="H65" i="2" s="1"/>
  <c r="I65" i="2" s="1"/>
  <c r="H58" i="2" a="1"/>
  <c r="H58" i="2" s="1"/>
  <c r="I58" i="2" s="1"/>
  <c r="H57" i="2" a="1"/>
  <c r="H57" i="2" s="1"/>
  <c r="I57" i="2" s="1"/>
  <c r="H100" i="2" a="1"/>
  <c r="H100" i="2" s="1"/>
  <c r="I100" i="2" s="1"/>
  <c r="H95" i="2" a="1"/>
  <c r="H95" i="2" s="1"/>
  <c r="I95" i="2" s="1"/>
  <c r="H87" i="2" a="1"/>
  <c r="H87" i="2" s="1"/>
  <c r="I87" i="2" s="1"/>
  <c r="H79" i="2" a="1"/>
  <c r="H79" i="2" s="1"/>
  <c r="I79" i="2" s="1"/>
  <c r="H71" i="2" a="1"/>
  <c r="H71" i="2" s="1"/>
  <c r="I71" i="2" s="1"/>
  <c r="H63" i="2" a="1"/>
  <c r="H63" i="2" s="1"/>
  <c r="I63" i="2" s="1"/>
  <c r="H55" i="2" a="1"/>
  <c r="H55" i="2" s="1"/>
  <c r="I55" i="2" s="1"/>
  <c r="K16" i="5" a="1"/>
  <c r="K16" i="5" s="1"/>
  <c r="M16" i="5" s="1"/>
  <c r="K4" i="5" a="1"/>
  <c r="K4" i="5" s="1"/>
  <c r="M4" i="5" s="1"/>
  <c r="K32" i="5" a="1"/>
  <c r="K32" i="5" s="1"/>
  <c r="M32" i="5" s="1"/>
  <c r="K28" i="5" a="1"/>
  <c r="K28" i="5" s="1"/>
  <c r="M28" i="5" s="1"/>
  <c r="K24" i="5" a="1"/>
  <c r="K24" i="5" s="1"/>
  <c r="M24" i="5" s="1"/>
  <c r="Q24" i="5" s="1"/>
  <c r="K20" i="5" a="1"/>
  <c r="K20" i="5" s="1"/>
  <c r="M20" i="5" s="1"/>
  <c r="K12" i="5" a="1"/>
  <c r="K12" i="5" s="1"/>
  <c r="M12" i="5" s="1"/>
  <c r="Q12" i="5" s="1"/>
  <c r="K8" i="5" a="1"/>
  <c r="K8" i="5" s="1"/>
  <c r="M8" i="5" s="1"/>
  <c r="K51" i="5" a="1"/>
  <c r="K51" i="5" s="1"/>
  <c r="M51" i="5" s="1"/>
  <c r="K47" i="5" a="1"/>
  <c r="K47" i="5" s="1"/>
  <c r="M47" i="5" s="1"/>
  <c r="K43" i="5" a="1"/>
  <c r="K43" i="5" s="1"/>
  <c r="M43" i="5" s="1"/>
  <c r="Q43" i="5" s="1"/>
  <c r="K39" i="5" a="1"/>
  <c r="K39" i="5" s="1"/>
  <c r="M39" i="5" s="1"/>
  <c r="Q39" i="5" s="1"/>
  <c r="K35" i="5" a="1"/>
  <c r="K35" i="5" s="1"/>
  <c r="M35" i="5" s="1"/>
  <c r="K31" i="5" a="1"/>
  <c r="K31" i="5" s="1"/>
  <c r="M31" i="5" s="1"/>
  <c r="N48" i="5"/>
  <c r="P48" i="5" s="1"/>
  <c r="N44" i="5"/>
  <c r="P44" i="5" s="1"/>
  <c r="N34" i="5"/>
  <c r="P34" i="5" s="1"/>
  <c r="N28" i="5"/>
  <c r="P28" i="5" s="1"/>
  <c r="N22" i="5"/>
  <c r="P22" i="5" s="1"/>
  <c r="N16" i="5"/>
  <c r="P16" i="5" s="1"/>
  <c r="N10" i="5"/>
  <c r="P10" i="5" s="1"/>
  <c r="N4" i="5"/>
  <c r="P4" i="5" s="1"/>
  <c r="N41" i="5"/>
  <c r="N37" i="5"/>
  <c r="N31" i="5"/>
  <c r="P31" i="5" s="1"/>
  <c r="N25" i="5"/>
  <c r="N19" i="5"/>
  <c r="P19" i="5" s="1"/>
  <c r="N13" i="5"/>
  <c r="N7" i="5"/>
  <c r="P7" i="5" s="1"/>
  <c r="K49" i="5" a="1"/>
  <c r="K49" i="5" s="1"/>
  <c r="M49" i="5" s="1"/>
  <c r="K45" i="5" a="1"/>
  <c r="K45" i="5" s="1"/>
  <c r="M45" i="5" s="1"/>
  <c r="K41" i="5" a="1"/>
  <c r="K41" i="5" s="1"/>
  <c r="M41" i="5" s="1"/>
  <c r="K37" i="5" a="1"/>
  <c r="K37" i="5" s="1"/>
  <c r="M37" i="5" s="1"/>
  <c r="K33" i="5" a="1"/>
  <c r="K33" i="5" s="1"/>
  <c r="M33" i="5" s="1"/>
  <c r="Q33" i="5" s="1"/>
  <c r="K29" i="5" a="1"/>
  <c r="K29" i="5" s="1"/>
  <c r="M29" i="5" s="1"/>
  <c r="K25" i="5" a="1"/>
  <c r="K25" i="5" s="1"/>
  <c r="M25" i="5" s="1"/>
  <c r="K21" i="5" a="1"/>
  <c r="K21" i="5" s="1"/>
  <c r="M21" i="5" s="1"/>
  <c r="Q21" i="5" s="1"/>
  <c r="K17" i="5" a="1"/>
  <c r="K17" i="5" s="1"/>
  <c r="M17" i="5" s="1"/>
  <c r="K13" i="5" a="1"/>
  <c r="K13" i="5" s="1"/>
  <c r="M13" i="5" s="1"/>
  <c r="K9" i="5" a="1"/>
  <c r="K9" i="5" s="1"/>
  <c r="M9" i="5" s="1"/>
  <c r="Q9" i="5" s="1"/>
  <c r="K5" i="5" a="1"/>
  <c r="K5" i="5" s="1"/>
  <c r="M5" i="5" s="1"/>
  <c r="K50" i="5" a="1"/>
  <c r="K50" i="5" s="1"/>
  <c r="M50" i="5" s="1"/>
  <c r="Q50" i="5" s="1"/>
  <c r="J49" i="5" a="1"/>
  <c r="J49" i="5" s="1"/>
  <c r="L49" i="5" s="1"/>
  <c r="K46" i="5" a="1"/>
  <c r="K46" i="5" s="1"/>
  <c r="M46" i="5" s="1"/>
  <c r="Q46" i="5" s="1"/>
  <c r="J45" i="5" a="1"/>
  <c r="J45" i="5" s="1"/>
  <c r="L45" i="5" s="1"/>
  <c r="K42" i="5" a="1"/>
  <c r="K42" i="5" s="1"/>
  <c r="M42" i="5" s="1"/>
  <c r="J41" i="5" a="1"/>
  <c r="J41" i="5" s="1"/>
  <c r="L41" i="5" s="1"/>
  <c r="P41" i="5" s="1"/>
  <c r="K38" i="5" a="1"/>
  <c r="K38" i="5" s="1"/>
  <c r="M38" i="5" s="1"/>
  <c r="J37" i="5" a="1"/>
  <c r="J37" i="5" s="1"/>
  <c r="L37" i="5" s="1"/>
  <c r="P37" i="5" s="1"/>
  <c r="K34" i="5" a="1"/>
  <c r="K34" i="5" s="1"/>
  <c r="M34" i="5" s="1"/>
  <c r="J33" i="5" a="1"/>
  <c r="J33" i="5" s="1"/>
  <c r="L33" i="5" s="1"/>
  <c r="K30" i="5" a="1"/>
  <c r="K30" i="5" s="1"/>
  <c r="M30" i="5" s="1"/>
  <c r="Q30" i="5" s="1"/>
  <c r="J29" i="5" a="1"/>
  <c r="J29" i="5" s="1"/>
  <c r="L29" i="5" s="1"/>
  <c r="K26" i="5" a="1"/>
  <c r="K26" i="5" s="1"/>
  <c r="M26" i="5" s="1"/>
  <c r="J25" i="5" a="1"/>
  <c r="J25" i="5" s="1"/>
  <c r="L25" i="5" s="1"/>
  <c r="P25" i="5" s="1"/>
  <c r="K22" i="5" a="1"/>
  <c r="K22" i="5" s="1"/>
  <c r="M22" i="5" s="1"/>
  <c r="J21" i="5" a="1"/>
  <c r="J21" i="5" s="1"/>
  <c r="L21" i="5" s="1"/>
  <c r="K18" i="5" a="1"/>
  <c r="K18" i="5" s="1"/>
  <c r="M18" i="5" s="1"/>
  <c r="Q18" i="5" s="1"/>
  <c r="J17" i="5" a="1"/>
  <c r="J17" i="5" s="1"/>
  <c r="L17" i="5" s="1"/>
  <c r="K14" i="5" a="1"/>
  <c r="K14" i="5" s="1"/>
  <c r="M14" i="5" s="1"/>
  <c r="J13" i="5" a="1"/>
  <c r="J13" i="5" s="1"/>
  <c r="L13" i="5" s="1"/>
  <c r="P13" i="5" s="1"/>
  <c r="K10" i="5" a="1"/>
  <c r="K10" i="5" s="1"/>
  <c r="M10" i="5" s="1"/>
  <c r="J9" i="5" a="1"/>
  <c r="J9" i="5" s="1"/>
  <c r="L9" i="5" s="1"/>
  <c r="K6" i="5" a="1"/>
  <c r="K6" i="5" s="1"/>
  <c r="M6" i="5" s="1"/>
  <c r="Q6" i="5" s="1"/>
  <c r="J5" i="5" a="1"/>
  <c r="J5" i="5" s="1"/>
  <c r="L5" i="5" s="1"/>
  <c r="H48" i="2" a="1"/>
  <c r="H48" i="2" s="1"/>
  <c r="I48" i="2" s="1"/>
  <c r="H44" i="2" a="1"/>
  <c r="H44" i="2" s="1"/>
  <c r="I44" i="2" s="1"/>
  <c r="H40" i="2" a="1"/>
  <c r="H40" i="2" s="1"/>
  <c r="I40" i="2" s="1"/>
  <c r="H36" i="2" a="1"/>
  <c r="H36" i="2" s="1"/>
  <c r="I36" i="2" s="1"/>
  <c r="H32" i="2" a="1"/>
  <c r="H32" i="2" s="1"/>
  <c r="I32" i="2" s="1"/>
  <c r="H28" i="2" a="1"/>
  <c r="H28" i="2" s="1"/>
  <c r="I28" i="2" s="1"/>
  <c r="H24" i="2" a="1"/>
  <c r="H24" i="2" s="1"/>
  <c r="I24" i="2" s="1"/>
  <c r="H20" i="2" a="1"/>
  <c r="H20" i="2" s="1"/>
  <c r="I20" i="2" s="1"/>
  <c r="H16" i="2" a="1"/>
  <c r="H16" i="2" s="1"/>
  <c r="I16" i="2" s="1"/>
  <c r="H12" i="2" a="1"/>
  <c r="H12" i="2" s="1"/>
  <c r="I12" i="2" s="1"/>
  <c r="H8" i="2" a="1"/>
  <c r="H8" i="2" s="1"/>
  <c r="I8" i="2" s="1"/>
  <c r="H4" i="2" a="1"/>
  <c r="H4" i="2" s="1"/>
  <c r="I4" i="2" s="1"/>
  <c r="H51" i="2" a="1"/>
  <c r="H51" i="2" s="1"/>
  <c r="I51" i="2" s="1"/>
  <c r="H47" i="2" a="1"/>
  <c r="H47" i="2" s="1"/>
  <c r="I47" i="2" s="1"/>
  <c r="H43" i="2" a="1"/>
  <c r="H43" i="2" s="1"/>
  <c r="I43" i="2" s="1"/>
  <c r="H39" i="2" a="1"/>
  <c r="H39" i="2" s="1"/>
  <c r="I39" i="2" s="1"/>
  <c r="H35" i="2" a="1"/>
  <c r="H35" i="2" s="1"/>
  <c r="I35" i="2" s="1"/>
  <c r="H31" i="2" a="1"/>
  <c r="H31" i="2" s="1"/>
  <c r="I31" i="2" s="1"/>
  <c r="H27" i="2" a="1"/>
  <c r="H27" i="2" s="1"/>
  <c r="I27" i="2" s="1"/>
  <c r="H23" i="2" a="1"/>
  <c r="H23" i="2" s="1"/>
  <c r="I23" i="2" s="1"/>
  <c r="H19" i="2" a="1"/>
  <c r="H19" i="2" s="1"/>
  <c r="I19" i="2" s="1"/>
  <c r="H15" i="2" a="1"/>
  <c r="H15" i="2" s="1"/>
  <c r="I15" i="2" s="1"/>
  <c r="H11" i="2" a="1"/>
  <c r="H11" i="2" s="1"/>
  <c r="I11" i="2" s="1"/>
  <c r="H7" i="2" a="1"/>
  <c r="H7" i="2" s="1"/>
  <c r="I7" i="2" s="1"/>
  <c r="H3" i="2" a="1"/>
  <c r="H3" i="2" s="1"/>
  <c r="I3" i="2" s="1"/>
  <c r="Q3" i="5" l="1"/>
  <c r="Q15" i="5"/>
  <c r="Q27" i="5"/>
  <c r="Q36" i="5"/>
  <c r="E32" i="1"/>
  <c r="E52" i="8"/>
  <c r="D52" i="8" s="1"/>
  <c r="E46" i="8"/>
  <c r="D46" i="8" s="1"/>
  <c r="E45" i="8"/>
  <c r="D45" i="8" s="1"/>
  <c r="D35" i="8"/>
  <c r="E19" i="1"/>
  <c r="D31" i="8"/>
  <c r="E34" i="1"/>
  <c r="D33" i="8"/>
  <c r="D32" i="8"/>
  <c r="E33" i="1"/>
  <c r="D19" i="1"/>
  <c r="D25" i="8"/>
  <c r="H51" i="5" l="1"/>
  <c r="H50" i="5"/>
  <c r="H49" i="5"/>
  <c r="H47" i="5"/>
  <c r="H46" i="5"/>
  <c r="H45" i="5"/>
  <c r="H43" i="5"/>
  <c r="H42" i="5"/>
  <c r="H40" i="5"/>
  <c r="H39" i="5"/>
  <c r="H38" i="5"/>
  <c r="H36" i="5"/>
  <c r="H35" i="5"/>
  <c r="H33" i="5"/>
  <c r="H32" i="5"/>
  <c r="H30" i="5"/>
  <c r="H29" i="5"/>
  <c r="H27" i="5"/>
  <c r="H26" i="5"/>
  <c r="H24" i="5"/>
  <c r="H23" i="5"/>
  <c r="H21" i="5"/>
  <c r="H20" i="5"/>
  <c r="H18" i="5"/>
  <c r="H17" i="5"/>
  <c r="H15" i="5"/>
  <c r="H14" i="5"/>
  <c r="H12" i="5"/>
  <c r="I51" i="5"/>
  <c r="I49" i="5"/>
  <c r="I48" i="5"/>
  <c r="I47" i="5"/>
  <c r="I45" i="5"/>
  <c r="I44" i="5"/>
  <c r="I42" i="5"/>
  <c r="I41" i="5"/>
  <c r="I40" i="5"/>
  <c r="I38" i="5"/>
  <c r="I37" i="5"/>
  <c r="I35" i="5"/>
  <c r="I34" i="5"/>
  <c r="I32" i="5"/>
  <c r="I31" i="5"/>
  <c r="I29" i="5"/>
  <c r="I28" i="5"/>
  <c r="I26" i="5"/>
  <c r="I25" i="5"/>
  <c r="I23" i="5"/>
  <c r="I22" i="5"/>
  <c r="I20" i="5"/>
  <c r="I19" i="5"/>
  <c r="I17" i="5"/>
  <c r="I16" i="5"/>
  <c r="I14" i="5"/>
  <c r="I13" i="5"/>
  <c r="E47" i="8"/>
  <c r="D47" i="8" s="1"/>
  <c r="E53" i="8"/>
  <c r="D53" i="8" s="1"/>
  <c r="G15" i="2"/>
  <c r="G23" i="2"/>
  <c r="G16" i="2"/>
  <c r="G24" i="2"/>
  <c r="G20" i="2"/>
  <c r="G17" i="2"/>
  <c r="G25" i="2"/>
  <c r="G19" i="2"/>
  <c r="G21" i="2"/>
  <c r="G14" i="2"/>
  <c r="G18" i="2"/>
  <c r="G26" i="2"/>
  <c r="G12" i="2"/>
  <c r="G22" i="2"/>
  <c r="G11" i="2"/>
  <c r="G13" i="2"/>
  <c r="D39" i="8"/>
  <c r="D26" i="8"/>
  <c r="D20" i="1"/>
  <c r="C27" i="1" s="1"/>
  <c r="B27" i="4"/>
  <c r="C32" i="1"/>
  <c r="C33" i="1"/>
  <c r="C34" i="1"/>
  <c r="C35" i="1"/>
  <c r="C36" i="1"/>
  <c r="C37" i="1"/>
  <c r="C38" i="1"/>
  <c r="B32" i="1"/>
  <c r="B33" i="1"/>
  <c r="B34" i="1"/>
  <c r="B35" i="1"/>
  <c r="B36" i="1"/>
  <c r="B37" i="1"/>
  <c r="B38" i="1"/>
  <c r="B42" i="4" s="1"/>
  <c r="O2" i="5" l="1"/>
  <c r="Q2" i="5" s="1"/>
  <c r="O51" i="5"/>
  <c r="Q51" i="5" s="1"/>
  <c r="O49" i="5"/>
  <c r="Q49" i="5" s="1"/>
  <c r="O48" i="5"/>
  <c r="Q48" i="5" s="1"/>
  <c r="O47" i="5"/>
  <c r="Q47" i="5" s="1"/>
  <c r="O45" i="5"/>
  <c r="Q45" i="5" s="1"/>
  <c r="O44" i="5"/>
  <c r="Q44" i="5" s="1"/>
  <c r="O42" i="5"/>
  <c r="Q42" i="5" s="1"/>
  <c r="O41" i="5"/>
  <c r="Q41" i="5" s="1"/>
  <c r="O40" i="5"/>
  <c r="Q40" i="5" s="1"/>
  <c r="O38" i="5"/>
  <c r="Q38" i="5" s="1"/>
  <c r="O37" i="5"/>
  <c r="Q37" i="5" s="1"/>
  <c r="O35" i="5"/>
  <c r="Q35" i="5" s="1"/>
  <c r="O34" i="5"/>
  <c r="Q34" i="5" s="1"/>
  <c r="O32" i="5"/>
  <c r="Q32" i="5" s="1"/>
  <c r="O31" i="5"/>
  <c r="Q31" i="5" s="1"/>
  <c r="O29" i="5"/>
  <c r="Q29" i="5" s="1"/>
  <c r="O28" i="5"/>
  <c r="Q28" i="5" s="1"/>
  <c r="O26" i="5"/>
  <c r="Q26" i="5" s="1"/>
  <c r="O25" i="5"/>
  <c r="Q25" i="5" s="1"/>
  <c r="O23" i="5"/>
  <c r="Q23" i="5" s="1"/>
  <c r="O22" i="5"/>
  <c r="Q22" i="5" s="1"/>
  <c r="O20" i="5"/>
  <c r="Q20" i="5" s="1"/>
  <c r="O19" i="5"/>
  <c r="Q19" i="5" s="1"/>
  <c r="O17" i="5"/>
  <c r="Q17" i="5" s="1"/>
  <c r="O16" i="5"/>
  <c r="Q16" i="5" s="1"/>
  <c r="O14" i="5"/>
  <c r="Q14" i="5" s="1"/>
  <c r="O13" i="5"/>
  <c r="Q13" i="5" s="1"/>
  <c r="O11" i="5"/>
  <c r="Q11" i="5" s="1"/>
  <c r="O10" i="5"/>
  <c r="Q10" i="5" s="1"/>
  <c r="O8" i="5"/>
  <c r="Q8" i="5" s="1"/>
  <c r="O7" i="5"/>
  <c r="Q7" i="5" s="1"/>
  <c r="O5" i="5"/>
  <c r="Q5" i="5" s="1"/>
  <c r="O4" i="5"/>
  <c r="Q4" i="5" s="1"/>
  <c r="C40" i="1"/>
  <c r="C42" i="1" s="1"/>
  <c r="C9" i="1" s="1"/>
  <c r="D30" i="4" a="1"/>
  <c r="D30" i="4" s="1"/>
  <c r="D45" i="4"/>
  <c r="E30" i="4" a="1"/>
  <c r="E30" i="4" s="1"/>
  <c r="E45" i="4"/>
  <c r="J82" i="2"/>
  <c r="K82" i="2" s="1"/>
  <c r="J40" i="2"/>
  <c r="K40" i="2" s="1"/>
  <c r="J79" i="2"/>
  <c r="K79" i="2" s="1"/>
  <c r="J39" i="2"/>
  <c r="K39" i="2" s="1"/>
  <c r="J49" i="2"/>
  <c r="K49" i="2" s="1"/>
  <c r="J72" i="2"/>
  <c r="K72" i="2" s="1"/>
  <c r="J32" i="2"/>
  <c r="K32" i="2" s="1"/>
  <c r="J17" i="2"/>
  <c r="K17" i="2" s="1"/>
  <c r="E17" i="2" s="1"/>
  <c r="J37" i="2"/>
  <c r="K37" i="2" s="1"/>
  <c r="J44" i="2"/>
  <c r="K44" i="2" s="1"/>
  <c r="J41" i="2"/>
  <c r="K41" i="2" s="1"/>
  <c r="J45" i="2"/>
  <c r="K45" i="2" s="1"/>
  <c r="J34" i="2"/>
  <c r="K34" i="2" s="1"/>
  <c r="J86" i="2"/>
  <c r="K86" i="2" s="1"/>
  <c r="J29" i="2"/>
  <c r="K29" i="2" s="1"/>
  <c r="J36" i="2"/>
  <c r="K36" i="2" s="1"/>
  <c r="J83" i="2"/>
  <c r="K83" i="2" s="1"/>
  <c r="J85" i="2"/>
  <c r="K85" i="2" s="1"/>
  <c r="J75" i="2"/>
  <c r="K75" i="2" s="1"/>
  <c r="J76" i="2"/>
  <c r="K76" i="2" s="1"/>
  <c r="J26" i="2"/>
  <c r="K26" i="2" s="1"/>
  <c r="E26" i="2" s="1"/>
  <c r="J24" i="2"/>
  <c r="K24" i="2" s="1"/>
  <c r="E24" i="2" s="1"/>
  <c r="J78" i="2"/>
  <c r="K78" i="2" s="1"/>
  <c r="J21" i="2"/>
  <c r="K21" i="2" s="1"/>
  <c r="E21" i="2" s="1"/>
  <c r="J28" i="2"/>
  <c r="K28" i="2" s="1"/>
  <c r="J43" i="2"/>
  <c r="K43" i="2" s="1"/>
  <c r="J15" i="2"/>
  <c r="K15" i="2" s="1"/>
  <c r="E15" i="2" s="1"/>
  <c r="J33" i="2"/>
  <c r="K33" i="2" s="1"/>
  <c r="J47" i="2"/>
  <c r="K47" i="2" s="1"/>
  <c r="J16" i="2"/>
  <c r="K16" i="2" s="1"/>
  <c r="E16" i="2" s="1"/>
  <c r="J46" i="2"/>
  <c r="K46" i="2" s="1"/>
  <c r="J13" i="2"/>
  <c r="K13" i="2" s="1"/>
  <c r="E13" i="2" s="1"/>
  <c r="J20" i="2"/>
  <c r="K20" i="2" s="1"/>
  <c r="E20" i="2" s="1"/>
  <c r="J35" i="2"/>
  <c r="K35" i="2" s="1"/>
  <c r="J27" i="2"/>
  <c r="K27" i="2" s="1"/>
  <c r="J48" i="2"/>
  <c r="K48" i="2" s="1"/>
  <c r="J31" i="2"/>
  <c r="K31" i="2" s="1"/>
  <c r="J23" i="2"/>
  <c r="K23" i="2" s="1"/>
  <c r="E23" i="2" s="1"/>
  <c r="J38" i="2"/>
  <c r="K38" i="2" s="1"/>
  <c r="J25" i="2"/>
  <c r="K25" i="2" s="1"/>
  <c r="E25" i="2" s="1"/>
  <c r="J12" i="2"/>
  <c r="K12" i="2" s="1"/>
  <c r="E12" i="2" s="1"/>
  <c r="J19" i="2"/>
  <c r="K19" i="2" s="1"/>
  <c r="E19" i="2" s="1"/>
  <c r="J74" i="2"/>
  <c r="K74" i="2" s="1"/>
  <c r="J30" i="2"/>
  <c r="K30" i="2" s="1"/>
  <c r="J73" i="2"/>
  <c r="K73" i="2" s="1"/>
  <c r="J14" i="2"/>
  <c r="K14" i="2" s="1"/>
  <c r="E14" i="2" s="1"/>
  <c r="J80" i="2"/>
  <c r="K80" i="2" s="1"/>
  <c r="J18" i="2"/>
  <c r="K18" i="2" s="1"/>
  <c r="E18" i="2" s="1"/>
  <c r="J42" i="2"/>
  <c r="K42" i="2" s="1"/>
  <c r="J11" i="2"/>
  <c r="K11" i="2" s="1"/>
  <c r="E11" i="2" s="1"/>
  <c r="J87" i="2"/>
  <c r="K87" i="2" s="1"/>
  <c r="J22" i="2"/>
  <c r="K22" i="2" s="1"/>
  <c r="E22" i="2" s="1"/>
  <c r="J77" i="2"/>
  <c r="K77" i="2" s="1"/>
  <c r="J84" i="2"/>
  <c r="K84" i="2" s="1"/>
  <c r="J2" i="2"/>
  <c r="K2" i="2" s="1"/>
  <c r="E2" i="2" s="1"/>
  <c r="J81" i="2"/>
  <c r="K81" i="2" s="1"/>
  <c r="J94" i="2"/>
  <c r="K94" i="2" s="1"/>
  <c r="J59" i="2"/>
  <c r="K59" i="2" s="1"/>
  <c r="J53" i="2"/>
  <c r="K53" i="2" s="1"/>
  <c r="J64" i="2"/>
  <c r="K64" i="2" s="1"/>
  <c r="J6" i="2"/>
  <c r="K6" i="2" s="1"/>
  <c r="E6" i="2" s="1"/>
  <c r="J58" i="2"/>
  <c r="K58" i="2" s="1"/>
  <c r="J3" i="2"/>
  <c r="K3" i="2" s="1"/>
  <c r="E3" i="2" s="1"/>
  <c r="J70" i="2"/>
  <c r="K70" i="2" s="1"/>
  <c r="J91" i="2"/>
  <c r="K91" i="2" s="1"/>
  <c r="J96" i="2"/>
  <c r="K96" i="2" s="1"/>
  <c r="J67" i="2"/>
  <c r="K67" i="2" s="1"/>
  <c r="J61" i="2"/>
  <c r="K61" i="2" s="1"/>
  <c r="J65" i="2"/>
  <c r="K65" i="2" s="1"/>
  <c r="J7" i="2"/>
  <c r="K7" i="2" s="1"/>
  <c r="E7" i="2" s="1"/>
  <c r="J8" i="2"/>
  <c r="K8" i="2" s="1"/>
  <c r="E8" i="2" s="1"/>
  <c r="J9" i="2"/>
  <c r="K9" i="2" s="1"/>
  <c r="E9" i="2" s="1"/>
  <c r="J55" i="2"/>
  <c r="K55" i="2" s="1"/>
  <c r="J50" i="2"/>
  <c r="K50" i="2" s="1"/>
  <c r="J99" i="2"/>
  <c r="K99" i="2" s="1"/>
  <c r="J98" i="2"/>
  <c r="K98" i="2" s="1"/>
  <c r="J52" i="2"/>
  <c r="K52" i="2" s="1"/>
  <c r="J69" i="2"/>
  <c r="K69" i="2" s="1"/>
  <c r="J66" i="2"/>
  <c r="K66" i="2" s="1"/>
  <c r="J10" i="2"/>
  <c r="K10" i="2" s="1"/>
  <c r="E10" i="2" s="1"/>
  <c r="J54" i="2"/>
  <c r="K54" i="2" s="1"/>
  <c r="J5" i="2"/>
  <c r="K5" i="2" s="1"/>
  <c r="E5" i="2" s="1"/>
  <c r="J97" i="2"/>
  <c r="K97" i="2" s="1"/>
  <c r="J88" i="2"/>
  <c r="K88" i="2" s="1"/>
  <c r="J60" i="2"/>
  <c r="K60" i="2" s="1"/>
  <c r="J71" i="2"/>
  <c r="K71" i="2" s="1"/>
  <c r="J63" i="2"/>
  <c r="K63" i="2" s="1"/>
  <c r="J100" i="2"/>
  <c r="K100" i="2" s="1"/>
  <c r="J92" i="2"/>
  <c r="K92" i="2" s="1"/>
  <c r="J89" i="2"/>
  <c r="K89" i="2" s="1"/>
  <c r="J68" i="2"/>
  <c r="K68" i="2" s="1"/>
  <c r="J57" i="2"/>
  <c r="K57" i="2" s="1"/>
  <c r="J90" i="2"/>
  <c r="K90" i="2" s="1"/>
  <c r="J93" i="2"/>
  <c r="K93" i="2" s="1"/>
  <c r="J56" i="2"/>
  <c r="K56" i="2" s="1"/>
  <c r="J62" i="2"/>
  <c r="K62" i="2" s="1"/>
  <c r="J4" i="2"/>
  <c r="K4" i="2" s="1"/>
  <c r="E4" i="2" s="1"/>
  <c r="J95" i="2"/>
  <c r="K95" i="2" s="1"/>
  <c r="J51" i="2"/>
  <c r="K51" i="2" s="1"/>
  <c r="E54" i="8"/>
  <c r="D54" i="8" s="1"/>
  <c r="G27" i="2"/>
  <c r="E48" i="8"/>
  <c r="D48" i="8" s="1"/>
  <c r="D40" i="8"/>
  <c r="E20" i="1"/>
  <c r="D27" i="8"/>
  <c r="D21" i="1"/>
  <c r="E21" i="1"/>
  <c r="D41" i="8"/>
  <c r="N2" i="5"/>
  <c r="P2" i="5" s="1"/>
  <c r="N46" i="5"/>
  <c r="P46" i="5" s="1"/>
  <c r="N38" i="5"/>
  <c r="P38" i="5" s="1"/>
  <c r="N30" i="5"/>
  <c r="P30" i="5" s="1"/>
  <c r="N14" i="5"/>
  <c r="P14" i="5" s="1"/>
  <c r="N6" i="5"/>
  <c r="P6" i="5" s="1"/>
  <c r="N47" i="5"/>
  <c r="P47" i="5" s="1"/>
  <c r="N39" i="5"/>
  <c r="P39" i="5" s="1"/>
  <c r="N23" i="5"/>
  <c r="P23" i="5" s="1"/>
  <c r="N15" i="5"/>
  <c r="P15" i="5" s="1"/>
  <c r="N36" i="5"/>
  <c r="P36" i="5" s="1"/>
  <c r="N20" i="5"/>
  <c r="P20" i="5" s="1"/>
  <c r="N12" i="5"/>
  <c r="P12" i="5" s="1"/>
  <c r="N45" i="5"/>
  <c r="P45" i="5" s="1"/>
  <c r="N29" i="5"/>
  <c r="P29" i="5" s="1"/>
  <c r="N21" i="5"/>
  <c r="P21" i="5" s="1"/>
  <c r="N5" i="5"/>
  <c r="P5" i="5" s="1"/>
  <c r="N40" i="5"/>
  <c r="P40" i="5" s="1"/>
  <c r="N24" i="5"/>
  <c r="P24" i="5" s="1"/>
  <c r="N49" i="5"/>
  <c r="P49" i="5" s="1"/>
  <c r="N17" i="5"/>
  <c r="P17" i="5" s="1"/>
  <c r="N50" i="5"/>
  <c r="P50" i="5" s="1"/>
  <c r="N42" i="5"/>
  <c r="P42" i="5" s="1"/>
  <c r="N26" i="5"/>
  <c r="P26" i="5" s="1"/>
  <c r="N18" i="5"/>
  <c r="P18" i="5" s="1"/>
  <c r="N51" i="5"/>
  <c r="P51" i="5" s="1"/>
  <c r="N43" i="5"/>
  <c r="P43" i="5" s="1"/>
  <c r="N35" i="5"/>
  <c r="P35" i="5" s="1"/>
  <c r="N27" i="5"/>
  <c r="P27" i="5" s="1"/>
  <c r="N11" i="5"/>
  <c r="P11" i="5" s="1"/>
  <c r="N3" i="5"/>
  <c r="P3" i="5" s="1"/>
  <c r="N32" i="5"/>
  <c r="P32" i="5" s="1"/>
  <c r="N8" i="5"/>
  <c r="P8" i="5" s="1"/>
  <c r="N33" i="5"/>
  <c r="P33" i="5" s="1"/>
  <c r="N9" i="5"/>
  <c r="P9" i="5" s="1"/>
  <c r="D31" i="4"/>
  <c r="G38" i="2" l="1"/>
  <c r="G47" i="2"/>
  <c r="G36" i="2"/>
  <c r="E36" i="2" s="1"/>
  <c r="G32" i="2"/>
  <c r="G45" i="2"/>
  <c r="G30" i="2"/>
  <c r="G49" i="2"/>
  <c r="G44" i="2"/>
  <c r="G43" i="2"/>
  <c r="G29" i="2"/>
  <c r="G46" i="2"/>
  <c r="E46" i="2" s="1"/>
  <c r="G33" i="2"/>
  <c r="E33" i="2" s="1"/>
  <c r="G37" i="2"/>
  <c r="E37" i="2" s="1"/>
  <c r="G35" i="2"/>
  <c r="E35" i="2" s="1"/>
  <c r="G39" i="2"/>
  <c r="E39" i="2" s="1"/>
  <c r="G42" i="2"/>
  <c r="G48" i="2"/>
  <c r="E48" i="2" s="1"/>
  <c r="G31" i="2"/>
  <c r="E31" i="2" s="1"/>
  <c r="G34" i="2"/>
  <c r="E34" i="2" s="1"/>
  <c r="G40" i="2"/>
  <c r="E40" i="2" s="1"/>
  <c r="G28" i="2"/>
  <c r="E28" i="2" s="1"/>
  <c r="G41" i="2"/>
  <c r="E41" i="2" s="1"/>
  <c r="G14" i="5"/>
  <c r="E49" i="2"/>
  <c r="E30" i="2"/>
  <c r="E45" i="2"/>
  <c r="E43" i="2"/>
  <c r="E44" i="2"/>
  <c r="E47" i="2"/>
  <c r="G32" i="5"/>
  <c r="E27" i="2"/>
  <c r="G38" i="5"/>
  <c r="G49" i="5"/>
  <c r="G40" i="5"/>
  <c r="G26" i="5"/>
  <c r="G29" i="5"/>
  <c r="G17" i="5"/>
  <c r="E42" i="2"/>
  <c r="E29" i="2"/>
  <c r="E32" i="2"/>
  <c r="E38" i="2"/>
  <c r="I2" i="5"/>
  <c r="G55" i="2"/>
  <c r="E55" i="2" s="1"/>
  <c r="G63" i="2"/>
  <c r="E63" i="2" s="1"/>
  <c r="G71" i="2"/>
  <c r="E71" i="2" s="1"/>
  <c r="G56" i="2"/>
  <c r="E56" i="2" s="1"/>
  <c r="G64" i="2"/>
  <c r="E64" i="2" s="1"/>
  <c r="G67" i="2"/>
  <c r="E67" i="2" s="1"/>
  <c r="G60" i="2"/>
  <c r="E60" i="2" s="1"/>
  <c r="G70" i="2"/>
  <c r="E70" i="2" s="1"/>
  <c r="G57" i="2"/>
  <c r="E57" i="2" s="1"/>
  <c r="G65" i="2"/>
  <c r="E65" i="2" s="1"/>
  <c r="G51" i="2"/>
  <c r="E51" i="2" s="1"/>
  <c r="G52" i="2"/>
  <c r="E52" i="2" s="1"/>
  <c r="G69" i="2"/>
  <c r="E69" i="2" s="1"/>
  <c r="G54" i="2"/>
  <c r="E54" i="2" s="1"/>
  <c r="G50" i="2"/>
  <c r="E50" i="2" s="1"/>
  <c r="G58" i="2"/>
  <c r="E58" i="2" s="1"/>
  <c r="G66" i="2"/>
  <c r="E66" i="2" s="1"/>
  <c r="G59" i="2"/>
  <c r="E59" i="2" s="1"/>
  <c r="G61" i="2"/>
  <c r="E61" i="2" s="1"/>
  <c r="G62" i="2"/>
  <c r="E62" i="2" s="1"/>
  <c r="G53" i="2"/>
  <c r="E53" i="2" s="1"/>
  <c r="G68" i="2"/>
  <c r="E68" i="2" s="1"/>
  <c r="E49" i="8"/>
  <c r="D49" i="8" s="1"/>
  <c r="E55" i="8"/>
  <c r="D55" i="8" s="1"/>
  <c r="D42" i="8"/>
  <c r="D28" i="8"/>
  <c r="D22" i="1"/>
  <c r="H2" i="5" s="1"/>
  <c r="G20" i="5"/>
  <c r="G28" i="5"/>
  <c r="G47" i="5"/>
  <c r="G37" i="5"/>
  <c r="G44" i="5"/>
  <c r="G6" i="5"/>
  <c r="G8" i="5"/>
  <c r="G51" i="5"/>
  <c r="G5" i="5"/>
  <c r="G10" i="5"/>
  <c r="G31" i="5"/>
  <c r="G50" i="5"/>
  <c r="G12" i="5"/>
  <c r="G27" i="5"/>
  <c r="G34" i="5"/>
  <c r="G36" i="5"/>
  <c r="G19" i="5"/>
  <c r="G33" i="5"/>
  <c r="G43" i="5"/>
  <c r="G24" i="5"/>
  <c r="G18" i="5"/>
  <c r="G21" i="5"/>
  <c r="G22" i="5"/>
  <c r="G30" i="5"/>
  <c r="G25" i="5"/>
  <c r="G4" i="5"/>
  <c r="G23" i="5"/>
  <c r="G41" i="5"/>
  <c r="G39" i="5"/>
  <c r="G16" i="5"/>
  <c r="G48" i="5"/>
  <c r="G13" i="5"/>
  <c r="G11" i="5"/>
  <c r="G9" i="5"/>
  <c r="G35" i="5"/>
  <c r="G7" i="5"/>
  <c r="G3" i="5"/>
  <c r="G42" i="5"/>
  <c r="G45" i="5"/>
  <c r="G15" i="5"/>
  <c r="G46" i="5"/>
  <c r="D59" i="4"/>
  <c r="C51" i="4"/>
  <c r="E42" i="4"/>
  <c r="D42" i="4"/>
  <c r="C42" i="4"/>
  <c r="E41" i="4"/>
  <c r="D41" i="4"/>
  <c r="C41" i="4"/>
  <c r="E40" i="4"/>
  <c r="D40" i="4"/>
  <c r="C40" i="4"/>
  <c r="E39" i="4"/>
  <c r="D39" i="4"/>
  <c r="C39" i="4"/>
  <c r="E38" i="4"/>
  <c r="D38" i="4"/>
  <c r="C38" i="4"/>
  <c r="E37" i="4"/>
  <c r="D37" i="4"/>
  <c r="C37" i="4"/>
  <c r="E36" i="4"/>
  <c r="D36" i="4"/>
  <c r="C36" i="4"/>
  <c r="B36" i="4"/>
  <c r="B37" i="4"/>
  <c r="B38" i="4"/>
  <c r="B39" i="4"/>
  <c r="B40" i="4"/>
  <c r="B41" i="4"/>
  <c r="C27" i="4"/>
  <c r="C26" i="4"/>
  <c r="C25" i="4"/>
  <c r="E24" i="4"/>
  <c r="D24" i="4"/>
  <c r="C24" i="4"/>
  <c r="E23" i="4"/>
  <c r="D23" i="4"/>
  <c r="C23" i="4"/>
  <c r="E22" i="4"/>
  <c r="D22" i="4"/>
  <c r="C22" i="4"/>
  <c r="E21" i="4"/>
  <c r="D21" i="4"/>
  <c r="C21" i="4"/>
  <c r="B21" i="4"/>
  <c r="B22" i="4"/>
  <c r="B23" i="4"/>
  <c r="B24" i="4"/>
  <c r="B25" i="4"/>
  <c r="B26" i="4"/>
  <c r="E25" i="4" l="1"/>
  <c r="D25" i="4"/>
  <c r="G79" i="2"/>
  <c r="E79" i="2" s="1"/>
  <c r="G87" i="2"/>
  <c r="E87" i="2" s="1"/>
  <c r="G76" i="2"/>
  <c r="E76" i="2" s="1"/>
  <c r="G86" i="2"/>
  <c r="E86" i="2" s="1"/>
  <c r="G72" i="2"/>
  <c r="E72" i="2" s="1"/>
  <c r="G80" i="2"/>
  <c r="E80" i="2" s="1"/>
  <c r="G77" i="2"/>
  <c r="E77" i="2" s="1"/>
  <c r="G73" i="2"/>
  <c r="E73" i="2" s="1"/>
  <c r="G81" i="2"/>
  <c r="E81" i="2" s="1"/>
  <c r="G83" i="2"/>
  <c r="E83" i="2" s="1"/>
  <c r="G74" i="2"/>
  <c r="E74" i="2" s="1"/>
  <c r="G82" i="2"/>
  <c r="E82" i="2" s="1"/>
  <c r="G75" i="2"/>
  <c r="E75" i="2" s="1"/>
  <c r="G84" i="2"/>
  <c r="E84" i="2" s="1"/>
  <c r="G85" i="2"/>
  <c r="E85" i="2" s="1"/>
  <c r="G78" i="2"/>
  <c r="E78" i="2" s="1"/>
  <c r="E51" i="8"/>
  <c r="D51" i="8" s="1"/>
  <c r="E50" i="8"/>
  <c r="D50" i="8" s="1"/>
  <c r="E56" i="8"/>
  <c r="D56" i="8" s="1"/>
  <c r="D43" i="8"/>
  <c r="E23" i="1"/>
  <c r="D29" i="8"/>
  <c r="D23" i="1"/>
  <c r="E46" i="4"/>
  <c r="D46" i="4"/>
  <c r="D47" i="4" s="1"/>
  <c r="E57" i="8" l="1"/>
  <c r="D57" i="8" s="1"/>
  <c r="E58" i="8"/>
  <c r="D58" i="8" s="1"/>
  <c r="G95" i="2"/>
  <c r="E95" i="2" s="1"/>
  <c r="G91" i="2"/>
  <c r="E91" i="2" s="1"/>
  <c r="G93" i="2"/>
  <c r="E93" i="2" s="1"/>
  <c r="G88" i="2"/>
  <c r="E88" i="2" s="1"/>
  <c r="G96" i="2"/>
  <c r="E96" i="2" s="1"/>
  <c r="G89" i="2"/>
  <c r="E89" i="2" s="1"/>
  <c r="G97" i="2"/>
  <c r="E97" i="2" s="1"/>
  <c r="G100" i="2"/>
  <c r="E100" i="2" s="1"/>
  <c r="G90" i="2"/>
  <c r="E90" i="2" s="1"/>
  <c r="G98" i="2"/>
  <c r="E98" i="2" s="1"/>
  <c r="G99" i="2"/>
  <c r="E99" i="2" s="1"/>
  <c r="G92" i="2"/>
  <c r="E92" i="2" s="1"/>
  <c r="G94" i="2"/>
  <c r="E94" i="2" s="1"/>
  <c r="G2" i="5"/>
  <c r="D26" i="4"/>
  <c r="D30" i="8"/>
  <c r="D24" i="1"/>
  <c r="E31" i="4"/>
  <c r="E26" i="4"/>
  <c r="D44" i="8"/>
  <c r="E24" i="1"/>
  <c r="D54" i="4"/>
  <c r="E27" i="4" l="1"/>
  <c r="D27" i="4"/>
  <c r="E47" i="4" s="1"/>
  <c r="E54" i="4" s="1"/>
  <c r="C54" i="4" s="1"/>
  <c r="C14"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<sst xmlns="http://schemas.openxmlformats.org/spreadsheetml/2006/main" count="372" uniqueCount="181">
  <si>
    <r>
      <t>Disclaimer for Annual Administration Fee (AAF) Calculator</t>
    </r>
    <r>
      <rPr>
        <sz val="12"/>
        <color rgb="FFFF0000"/>
        <rFont val="Arial"/>
        <family val="2"/>
      </rPr>
      <t> </t>
    </r>
  </si>
  <si>
    <t>The AAF is to be calculated using the AAF Policy V3-5. This calculator is offered by FSC to support the calculation of an estimate of the AAF only for 1 January 2025 onwards.  </t>
  </si>
  <si>
    <t>The content of this calculator is created with the greatest possible care. However, FSC accepts no responsibility for the accuracy, completeness and up-to-date nature of the calculator provided. Note that not all certification types and scenarios are included. The use of the calculator is at the user's own risk. In particular, the calculation in the calculator does not result in any obligation regarding the exact amount of the AAF owed to FSC by certification bodies. For this exact amount certificate holders are to consult their certification bodies. </t>
  </si>
  <si>
    <t>The existence and the content of this calculator are to be kept confidential and the calculator is not to be embedded in other IT systems or shared beyond the direct recipients of this calculator, especially not with certificate holders.</t>
  </si>
  <si>
    <t xml:space="preserve">User instructions </t>
  </si>
  <si>
    <t>Overview</t>
  </si>
  <si>
    <t>&lt;Disclaimer&gt;</t>
  </si>
  <si>
    <t>Please read this before use. Use of the calculator is an acknowledgement that you have read and understood this disclaimer. </t>
  </si>
  <si>
    <t>&lt;Basic Calculator&gt;</t>
  </si>
  <si>
    <t>Scope</t>
  </si>
  <si>
    <t>For new pricing model (effective from 1 Jan 2025).</t>
  </si>
  <si>
    <t>This is not a full AAF calculator but 'only' a calculator for the COC costs of single and multi-site certifications.</t>
  </si>
  <si>
    <t>This tool will also work for Project Certification: simply enter the total Project Cost in the cell for Forest Products Turnover, and selecting trader as the COC Type.</t>
  </si>
  <si>
    <t xml:space="preserve">The more complicated fees for group certifications cannot be calculated using this tool. </t>
  </si>
  <si>
    <t>This is a reference tool only. It must be used in conjunction with the AAF policy.</t>
  </si>
  <si>
    <t>This calculator does not compute the AAF due under the Default pathway where no data on Forest Products Turnover or organisation Revenue is available.</t>
  </si>
  <si>
    <t>Instructions</t>
  </si>
  <si>
    <t>Determine the aggregate Forest Products Turnover for all COC site(s) involved in the certification, substituting organisation Revenue where the breakdown to Forest Products Turnover is not available.</t>
  </si>
  <si>
    <t>Enter COC Type and aggregate Forest Products Turnover in the cells highlighted in yellow.</t>
  </si>
  <si>
    <t>The new AAF Class and AAF Due will be automatically calculated and displayed.</t>
  </si>
  <si>
    <t>&lt;COC Group Calculator&gt;</t>
  </si>
  <si>
    <t>This is not a full AAF calculator but 'only' a calculator for Group COC certifications.</t>
  </si>
  <si>
    <t>This tool does not check whether the listed combination of sites is allowed under FSC normative rules.</t>
  </si>
  <si>
    <t>First determine the aggregate Forest Products Turnover for all sites involved in the group, split between Processor and Trader group members.</t>
  </si>
  <si>
    <t>Enter number of members and relevant aggregate Forest Products Turnover figures in the cells highlighted in yellow.</t>
  </si>
  <si>
    <t>&lt;Bulk COC Calculator&gt;</t>
  </si>
  <si>
    <t>The purpose of the Bulk Calculator is to provide a basis for allowing CBs to calculate new invoices for each of their CHs.</t>
  </si>
  <si>
    <t xml:space="preserve">Instead of manually re-entering each CH's turnover in the Basic Calculator, this Bulk Calculator is a starting point, which can be adapted by the CBs. </t>
  </si>
  <si>
    <t>Adapt the ID reference and add extra columns as may be useful for your purposes.</t>
  </si>
  <si>
    <t>Each row represents a separate certification.</t>
  </si>
  <si>
    <t>This demonstration contains 99 rows: drag down formulae to create as many extra rows as needed.</t>
  </si>
  <si>
    <t>As with the Basic Calculator, first determine the aggregate Forest Products Turnover for all site(s) involved in each certification.</t>
  </si>
  <si>
    <t>Enter the ID, COC Type and aggregate Forest Products Turnover in the columns highlighted in yellow.</t>
  </si>
  <si>
    <t>The new AAF Class and AAF Due will be automatically calculated and displayed in the adjacent columns.</t>
  </si>
  <si>
    <t>&lt;Bulk Group COC Calculator&gt;</t>
  </si>
  <si>
    <t>The purpose of the Bulk Calculator is to provide a basis for allowing CBs to calculate new invoices for each of their group certifications.</t>
  </si>
  <si>
    <t xml:space="preserve">Instead of manually re-entering each CH's turnover in the COC Group Calculator, this Bulk Calculator is a starting point, which can be adapted by the CBs. </t>
  </si>
  <si>
    <t>This demonstration contains 50 rows: drag down formulae to create as many extra rows as needed.</t>
  </si>
  <si>
    <t>As with the COC Group Calculator, first determine the aggregate Forest Products Turnover for all site(s) involved in each certification.</t>
  </si>
  <si>
    <t>Enter the ID, number of members and relevant aggregate Forest Products Turnover figures in the columns highlighted in yellow.</t>
  </si>
  <si>
    <t>The new AAF Class(es) and AAF Due will be automatically calculated and displayed in the adjacent columns.</t>
  </si>
  <si>
    <t>Inputs: Certificate Holder Description</t>
  </si>
  <si>
    <t>COC Type</t>
  </si>
  <si>
    <t>Processor</t>
  </si>
  <si>
    <t>Options</t>
  </si>
  <si>
    <t>None</t>
  </si>
  <si>
    <t>Trader</t>
  </si>
  <si>
    <t>Forest Products Turnover (USD)</t>
  </si>
  <si>
    <t>Result</t>
  </si>
  <si>
    <t>AAF Class</t>
  </si>
  <si>
    <t>AAF Due</t>
  </si>
  <si>
    <t>Computation</t>
  </si>
  <si>
    <t>COC Type Index</t>
  </si>
  <si>
    <t>Base Fee Computation</t>
  </si>
  <si>
    <t>Turnover (Min) (USD)</t>
  </si>
  <si>
    <t>Processor (USD)</t>
  </si>
  <si>
    <t>Trader (USD)</t>
  </si>
  <si>
    <t>Class Base Turnover (USD)</t>
  </si>
  <si>
    <t>AAF Base Fee (USD)</t>
  </si>
  <si>
    <t>Variable Fee Computation</t>
  </si>
  <si>
    <t>Variable Fee (per USD 1m)</t>
  </si>
  <si>
    <t>Excess Turnover (above base)</t>
  </si>
  <si>
    <t>Additional AAF Due (USD)</t>
  </si>
  <si>
    <t>Minimum AAF</t>
  </si>
  <si>
    <t>Min. COC AAF (USD)</t>
  </si>
  <si>
    <t>Min. COC Fee Applicable</t>
  </si>
  <si>
    <t>CoC</t>
  </si>
  <si>
    <t>Group Members</t>
  </si>
  <si>
    <t>CoC Type</t>
  </si>
  <si>
    <t>Turnover (USD)</t>
  </si>
  <si>
    <t>Class Base Turnover</t>
  </si>
  <si>
    <t>AAF Base Cost</t>
  </si>
  <si>
    <t>CoC Aggregation</t>
  </si>
  <si>
    <t>Total</t>
  </si>
  <si>
    <t>Group Member Charges</t>
  </si>
  <si>
    <t>Group AAF Due</t>
  </si>
  <si>
    <t>CoC Group Member Charge</t>
  </si>
  <si>
    <t>CH ID</t>
  </si>
  <si>
    <t>CH Turnover</t>
  </si>
  <si>
    <t>Cert Type</t>
  </si>
  <si>
    <t>AAF Total</t>
  </si>
  <si>
    <t>Class Base AAF</t>
  </si>
  <si>
    <t>Excess Turnover</t>
  </si>
  <si>
    <t>Variable Fee</t>
  </si>
  <si>
    <t>Additional AAF</t>
  </si>
  <si>
    <t>Explanatory Note</t>
  </si>
  <si>
    <t>Enter data into column A-C. Results given in columns D-E.</t>
  </si>
  <si>
    <t>Drag down formulae to create as many extra rows as needed.</t>
  </si>
  <si>
    <t>Processor Turnover</t>
  </si>
  <si>
    <t>Trader Turnover</t>
  </si>
  <si>
    <t>Processor Class</t>
  </si>
  <si>
    <t>Trader Class</t>
  </si>
  <si>
    <t>Proc Class Base AAF</t>
  </si>
  <si>
    <t>Trad Class Base AAF</t>
  </si>
  <si>
    <t>Proc Class Base Turnover</t>
  </si>
  <si>
    <t>Trad Class Base Turnover</t>
  </si>
  <si>
    <t>Proc Excess Turnover</t>
  </si>
  <si>
    <t>Trad Excess Turnover</t>
  </si>
  <si>
    <t>Proc Variable Fee</t>
  </si>
  <si>
    <t>Trad Variable Fee</t>
  </si>
  <si>
    <t>Proc Additional AAF</t>
  </si>
  <si>
    <t>Trad Additional AAF</t>
  </si>
  <si>
    <t>Enter data into column A-D. Results given in columns E-G.</t>
  </si>
  <si>
    <t>Inflation Rate</t>
  </si>
  <si>
    <t>Primary Parameters</t>
  </si>
  <si>
    <t>Parameter</t>
  </si>
  <si>
    <t>Applicable To FPT above</t>
  </si>
  <si>
    <t>Current Value</t>
  </si>
  <si>
    <t>Inflate (Y/N)</t>
  </si>
  <si>
    <t>New Value</t>
  </si>
  <si>
    <t>Processor Variable Fee Class 1</t>
  </si>
  <si>
    <t>Y</t>
  </si>
  <si>
    <t>Processor Variable Fee Class 2</t>
  </si>
  <si>
    <t>Processor Variable Fee Class 3</t>
  </si>
  <si>
    <t>Processor Variable Fee Class 4</t>
  </si>
  <si>
    <t>Processor Variable Fee Class 5</t>
  </si>
  <si>
    <t>Processor Variable Fee Class 6</t>
  </si>
  <si>
    <t>Processor Variable Fee Class 7</t>
  </si>
  <si>
    <t>CoC Min Fee</t>
  </si>
  <si>
    <t>CoC Group Membership</t>
  </si>
  <si>
    <t>FM Base Fee</t>
  </si>
  <si>
    <t>Derived Parameters</t>
  </si>
  <si>
    <t>Processor to Trader Conversion</t>
  </si>
  <si>
    <t>Inflated</t>
  </si>
  <si>
    <t>Processor Base Fee Class 1</t>
  </si>
  <si>
    <t>Processor Base Fee Class 2</t>
  </si>
  <si>
    <t>Processor Base Fee Class 3</t>
  </si>
  <si>
    <t>Processor Base Fee Class 4</t>
  </si>
  <si>
    <t>Processor Base Fee Class 5</t>
  </si>
  <si>
    <t>Processor Base Fee Class 6</t>
  </si>
  <si>
    <t>Processor Base Fee Class 7</t>
  </si>
  <si>
    <t>Trader Variable Fee Class 1</t>
  </si>
  <si>
    <t>Trader Variable Fee Class 2</t>
  </si>
  <si>
    <t>Trader Variable Fee Class 3</t>
  </si>
  <si>
    <t>Trader Variable Fee Class 4</t>
  </si>
  <si>
    <t>Trader Variable Fee Class 5</t>
  </si>
  <si>
    <t>Trader Variable Fee Class 6</t>
  </si>
  <si>
    <t>Trader Variable Fee Class 7</t>
  </si>
  <si>
    <t>Trader Base Fee Class 1</t>
  </si>
  <si>
    <t>Trader Base Fee Class 2</t>
  </si>
  <si>
    <t>Trader Base Fee Class 3</t>
  </si>
  <si>
    <t>Trader Base Fee Class 4</t>
  </si>
  <si>
    <t>Trader Base Fee Class 5</t>
  </si>
  <si>
    <t>Trader Base Fee Class 6</t>
  </si>
  <si>
    <t>Trader Base Fee Class 7</t>
  </si>
  <si>
    <t>Processor Default Fee Class 1</t>
  </si>
  <si>
    <t>Processor Default Fee Class 2</t>
  </si>
  <si>
    <t>Processor Default Fee Class 3</t>
  </si>
  <si>
    <t>Processor Default Fee Class 4</t>
  </si>
  <si>
    <t>Processor Default Fee Class 5</t>
  </si>
  <si>
    <t>Processor Default Fee Class 6</t>
  </si>
  <si>
    <t>Processor Default Fee Class 7</t>
  </si>
  <si>
    <t>Trader Default Fee Class 1</t>
  </si>
  <si>
    <t>Trader Default Fee Class 2</t>
  </si>
  <si>
    <t>Trader Default Fee Class 3</t>
  </si>
  <si>
    <t>Trader Default Fee Class 4</t>
  </si>
  <si>
    <t>Trader Default Fee Class 5</t>
  </si>
  <si>
    <t>Trader Default Fee Class 6</t>
  </si>
  <si>
    <t>Trader Default Fee Class 7</t>
  </si>
  <si>
    <t>FSC YILLIK İDARİ HİZMET BEDELİ (AAF) İÇİN GELİR BİLDİRİMİ</t>
  </si>
  <si>
    <t>FİRMA 1 - "sarı" alanları mutlaka bilgisayarda doldurunuz</t>
  </si>
  <si>
    <t>Firma Ünvanı</t>
  </si>
  <si>
    <t>Cari Dönem</t>
  </si>
  <si>
    <t xml:space="preserve">OANDA (USD-TL) çevrim kuru </t>
  </si>
  <si>
    <t>https://www1.oanda.com/currency/converter/</t>
  </si>
  <si>
    <t>Kur Çevrim Tarihi</t>
  </si>
  <si>
    <t>1 USD =</t>
  </si>
  <si>
    <t>TL</t>
  </si>
  <si>
    <t>Toplam Gelir</t>
  </si>
  <si>
    <t>USD</t>
  </si>
  <si>
    <t>Orman Ürünleri Geliri</t>
  </si>
  <si>
    <t>Mali Müşavir veya Muhasebe Sorumlusu veya Genel Müdür / Adı-Soyadı</t>
  </si>
  <si>
    <t>Tarih</t>
  </si>
  <si>
    <t>FİRMA 2 - "sarı" alanları mutlaka bilgisayarda doldurunuz</t>
  </si>
  <si>
    <r>
      <rPr>
        <b/>
        <sz val="11"/>
        <color theme="1"/>
        <rFont val="Calibri"/>
        <family val="2"/>
        <charset val="162"/>
        <scheme val="minor"/>
      </rPr>
      <t>Gelir Beyanı için Kullanılan Kaynak Referans Kayıt Adı</t>
    </r>
    <r>
      <rPr>
        <sz val="10"/>
        <rFont val="Arial"/>
        <family val="2"/>
      </rPr>
      <t xml:space="preserve">
</t>
    </r>
    <r>
      <rPr>
        <sz val="9"/>
        <color theme="1"/>
        <rFont val="Calibri"/>
        <family val="2"/>
        <charset val="162"/>
        <scheme val="minor"/>
      </rPr>
      <t>(Kurumlar Vergisi Beyannamesi veya "600" kodlu hesabın ayrıntılı dökümü gibi)</t>
    </r>
  </si>
  <si>
    <t xml:space="preserve">
KAŞE - İMZA
Verilen "gelir" bilgilerinin doğruluğunu kabul ederiz.</t>
  </si>
  <si>
    <t>GELİR BİLDİRİMİ - 2024</t>
  </si>
  <si>
    <t>01.01.2024 - 31.12.2024</t>
  </si>
  <si>
    <t>FORM.186/10.03.2025/Rev.18</t>
  </si>
  <si>
    <r>
      <rPr>
        <b/>
        <sz val="12"/>
        <color rgb="FFFF0000"/>
        <rFont val="Calibri"/>
        <family val="2"/>
        <charset val="162"/>
        <scheme val="minor"/>
      </rPr>
      <t>TANIMLAR:</t>
    </r>
    <r>
      <rPr>
        <b/>
        <sz val="10"/>
        <color theme="1"/>
        <rFont val="Calibri"/>
        <family val="2"/>
        <charset val="162"/>
        <scheme val="minor"/>
      </rPr>
      <t xml:space="preserve">
Toplam Gelir (Net Satışlar): </t>
    </r>
    <r>
      <rPr>
        <sz val="10"/>
        <color theme="1"/>
        <rFont val="Calibri"/>
        <family val="2"/>
        <charset val="162"/>
        <scheme val="minor"/>
      </rPr>
      <t>Toplam Gelir, bir kuruluşun mal ve hizmet sunumundan elde edilen toplam gelirini, satış indirimleri, KDV ve bu gelire dayalı diğer vergiler (ÖTV v.b.) düşüldükten sonra kalan tutar anlamına gelir. Bu ayrıca şirket içi satışların (yani bir finansal grubun var olduğu herhangi bir konsolidasyondan sonra) da çıkarılmasını gerektirir. Gelir, en son tamamlanan mali yılın gelirini ifade eder ve en yakın ABD doları tam sayısına çevrilir.</t>
    </r>
    <r>
      <rPr>
        <b/>
        <sz val="10"/>
        <color theme="1"/>
        <rFont val="Calibri"/>
        <family val="2"/>
        <charset val="162"/>
        <scheme val="minor"/>
      </rPr>
      <t xml:space="preserve">
Orman Ürünleri Geliri: </t>
    </r>
    <r>
      <rPr>
        <sz val="10"/>
        <color theme="1"/>
        <rFont val="Calibri"/>
        <family val="2"/>
        <charset val="162"/>
        <scheme val="minor"/>
      </rPr>
      <t>Orman Ürünleri Geliri, tüm sertifikalı ve sertifikasız orman ürünleri ile ahşap veya lif bileşenleri içeren ürünlerin geliri anlamına gelir. (yani, FSC-STD-40-004a'ya göre tüm ağaç ürünleri, kâğıt hamuru ve kağıt ürünleri ve odun dışı orman ürünleri).</t>
    </r>
    <r>
      <rPr>
        <b/>
        <sz val="10"/>
        <color theme="1"/>
        <rFont val="Calibri"/>
        <family val="2"/>
        <charset val="162"/>
        <scheme val="minor"/>
      </rPr>
      <t xml:space="preserve">
Revenue: </t>
    </r>
    <r>
      <rPr>
        <sz val="10"/>
        <color theme="1"/>
        <rFont val="Calibri"/>
        <family val="2"/>
        <charset val="162"/>
        <scheme val="minor"/>
      </rPr>
      <t>Revenue means the total revenue of an organization derived from the provision of goods and services, less trade discounts, VAT, and any other Taxes based on this Revenue.</t>
    </r>
    <r>
      <rPr>
        <b/>
        <sz val="10"/>
        <color theme="1"/>
        <rFont val="Calibri"/>
        <family val="2"/>
        <charset val="162"/>
        <scheme val="minor"/>
      </rPr>
      <t xml:space="preserve"> </t>
    </r>
    <r>
      <rPr>
        <sz val="10"/>
        <color theme="1"/>
        <rFont val="Calibri"/>
        <family val="2"/>
        <charset val="162"/>
        <scheme val="minor"/>
      </rPr>
      <t xml:space="preserve">This is also less intracompany sales (i.e. after any consolidation where a financial group is existing). Revenue refers to the most recently completed fiscal year and is the exact number to the nearest whole USD.  (FSC POL 20-005 V3-5) 
</t>
    </r>
    <r>
      <rPr>
        <b/>
        <sz val="10"/>
        <color theme="1"/>
        <rFont val="Calibri"/>
        <family val="2"/>
        <charset val="162"/>
        <scheme val="minor"/>
      </rPr>
      <t>Forest Products Turnover:</t>
    </r>
    <r>
      <rPr>
        <sz val="10"/>
        <color theme="1"/>
        <rFont val="Calibri"/>
        <family val="2"/>
        <charset val="162"/>
        <scheme val="minor"/>
      </rPr>
      <t xml:space="preserve"> Forest Products Turnover means the Revenue of all certified and uncertified forest products and products containing wood or fibre components. (i.e., all wood products, pulp and paper products, and non-timber forest products according to FSC-STD-40-004a). It does not refer to 100% non-forest products companies might produce. For clarification, Forest Products Turnover does not refer to related services. (FSC POL 20-005 V3-5)
</t>
    </r>
    <r>
      <rPr>
        <b/>
        <sz val="10"/>
        <color theme="1"/>
        <rFont val="Calibri"/>
        <family val="2"/>
        <charset val="162"/>
        <scheme val="minor"/>
      </rPr>
      <t>CH: Certificate Holder / Sertifika Sahibi</t>
    </r>
  </si>
  <si>
    <r>
      <rPr>
        <b/>
        <sz val="12"/>
        <color rgb="FFFF0000"/>
        <rFont val="Calibri"/>
        <family val="2"/>
        <charset val="162"/>
        <scheme val="minor"/>
      </rPr>
      <t>GELİR BİLDİRİMİ İLE İLGİLİ KURALLAR:</t>
    </r>
    <r>
      <rPr>
        <sz val="10"/>
        <color theme="1"/>
        <rFont val="Calibri"/>
        <family val="2"/>
        <charset val="162"/>
        <scheme val="minor"/>
      </rPr>
      <t xml:space="preserve">
- Gelir Bildirimi FSC sertifikasyon kapsamında yer alan her bir firma için (her bir tüzel kişilik - grup firma) ayrı beyan edilmelidir. Sertifikasyon kapsamınızda "1" firma varsa aşağıdaki tabloda "FIRMA 1" kısmını, sertifikasyon kapsamınızda "2" firma var ise, "FIRMA 1" ve "FIRMA 2" kısımlarını doldurunuz. "2"'den fazla firma varsa, bu formu istediğiniz miktarda çoğaltarak gelir bildiriminizi beyan ediniz. Sertifikasyon kapsamında yer alan grup firmaları kendi aralarında faturalandırma yapıyorsa (kendi grup şirketine yaptığı satışlar) beyan edilen ciroya bu satışlar  dahil edilmemelidir.
- Form üzerindeki "sarı" alanlar mutlaka bilgisayarda doldurulmalıdır. Hatalı veya yanlış gelir bildirimlerinden firmanız sorumludur.
- Denetiminizde beyan etmiş olduğunuz geliriniz FSC database'e işlendikten sonra değişiklik yapılamaz veya geriye dönük işlem yapılamaz.
</t>
    </r>
    <r>
      <rPr>
        <sz val="10"/>
        <color rgb="FFFF0000"/>
        <rFont val="Calibri"/>
        <family val="2"/>
        <charset val="162"/>
        <scheme val="minor"/>
      </rPr>
      <t>- Firmanız yeni kurulmuş ve henüz tam bir cari yılı tamamlamamış ise, bu durumu form üzerinde not düşerek belirtmeniz gerekmektedir. Henüz tam bir cari yılı tamamlamayan kuruluşların "Orman Ürünleri Geliri", belgelendirme kuruluşu tarafından FSC database'e "100.000 USD" olarak girilecek ve firma en düşük AAF'yi ödeyecektir. (FSC ADVICE 40-004_25)</t>
    </r>
    <r>
      <rPr>
        <sz val="10"/>
        <color theme="1"/>
        <rFont val="Calibri"/>
        <family val="2"/>
        <charset val="162"/>
        <scheme val="minor"/>
      </rPr>
      <t xml:space="preserve">
</t>
    </r>
    <r>
      <rPr>
        <sz val="10"/>
        <color rgb="FFFF0000"/>
        <rFont val="Calibri"/>
        <family val="2"/>
        <charset val="162"/>
        <scheme val="minor"/>
      </rPr>
      <t>- Tamamlanmış cari yıl içinde herhangi bir "Orman Ürünü Geliri" niz yok ise, satın aldığınız orman ürünlerinin maliyetini "Orman Ürünü Geliri" olarak beyan etmeniz gerekmektedir. (FSC ADVICE 40-004_25)
- Gelir Bildirimi, firmanızın Vergi Beyannamesine göre verilmelidir. Denetiminiz, yılın birinci çeyreğinde (1 Ocak-31 Mart) yapılıyor ise, bulunduğunuz yıldan iki yıl önceki yılın gelirini beyan etmeniz gerekir. Denetiminiz 1 Nisan ve sonrasında gerçekleşiyorsa, bulunduğunuz yıldan bir önceki yılın gelirini beyan etmeniz gerekir.</t>
    </r>
    <r>
      <rPr>
        <sz val="10"/>
        <color theme="1"/>
        <rFont val="Calibri"/>
        <family val="2"/>
        <charset val="162"/>
        <scheme val="minor"/>
      </rPr>
      <t xml:space="preserve">
</t>
    </r>
    <r>
      <rPr>
        <sz val="10"/>
        <color rgb="FFFF0000"/>
        <rFont val="Calibri"/>
        <family val="2"/>
        <charset val="162"/>
        <scheme val="minor"/>
      </rPr>
      <t>- Bu form üzerinde beyan ettiğiniz gelir bildiriminizin ve yukarıdaki maddelerde belirtilen durumların denetiminiz sırasında denetçimiz tarafından kontrolü sağlanacaktır. Bu konuda denetçimizin görevini yerine getirmesine yardımcı olmanızı rica ederiz.</t>
    </r>
    <r>
      <rPr>
        <sz val="10"/>
        <color theme="1"/>
        <rFont val="Calibri"/>
        <family val="2"/>
        <charset val="16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</si>
</sst>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409]#,##0"/>
    <numFmt numFmtId="165" formatCode="[$$-409]#,##0.0000"/>
    <numFmt numFmtId="166" formatCode="0;\-0;&quot;&quot;"/>
    <numFmt numFmtId="167" formatCode="_(* #,##0_);_(* \(#,##0\);_(* &quot;-&quot;??_);_(@_)"/>
    <numFmt numFmtId="168" formatCode="#,##0_ ;\-#,##0\ "/>
    <numFmt numFmtId="169" formatCode="#,##0.000;[Red]#,##0.000"/>
    <numFmt numFmtId="170" formatCode="#,##0.00;[Red]#,##0.00"/>
    <numFmt numFmtId="171" formatCode="#,##0.000"/>
    <numFmt numFmtId="172" formatCode="0.0000"/>
    <numFmt numFmtId="173" formatCode="_-[$₺-41F]* #,##0.00_-;\-[$₺-41F]* #,##0.00_-;_-[$₺-41F]* &quot;-&quot;??_-;_-@_-"/>
    <numFmt numFmtId="174" formatCode="_-* #,##0_-;\-* #,##0_-;_-* &quot;-&quot;??_-;_-@_-"/>
  </numFmts>
  <fonts count="36" x14ac:knownFonts="1">
    <font>
      <sz val="10"/>
      <name val="Arial"/>
      <family val="2"/>
    </font>
    <font>
      <b/>
      <sz val="10"/>
      <color theme="0"/>
      <name val="Arial"/>
      <family val="2"/>
    </font>
    <font>
      <sz val="10"/>
      <color theme="9" tint="-0.499984740745262"/>
      <name val="Arial"/>
      <family val="2"/>
    </font>
    <font>
      <i/>
      <sz val="8"/>
      <color theme="0" tint="-0.14999847407452621"/>
      <name val="Arial"/>
      <family val="2"/>
    </font>
    <font>
      <i/>
      <sz val="8"/>
      <color theme="0"/>
      <name val="Arial"/>
      <family val="2"/>
    </font>
    <font>
      <b/>
      <sz val="10"/>
      <color theme="9" tint="-0.499984740745262"/>
      <name val="Arial"/>
      <family val="2"/>
    </font>
    <font>
      <sz val="8"/>
      <name val="Arial"/>
      <family val="2"/>
    </font>
    <font>
      <b/>
      <i/>
      <sz val="8"/>
      <color theme="0"/>
      <name val="Arial"/>
      <family val="2"/>
    </font>
    <font>
      <sz val="8"/>
      <color theme="0"/>
      <name val="Arial"/>
      <family val="2"/>
    </font>
    <font>
      <b/>
      <sz val="10"/>
      <color theme="6" tint="0.59999389629810485"/>
      <name val="Arial Narrow"/>
      <family val="2"/>
    </font>
    <font>
      <sz val="10"/>
      <color theme="6"/>
      <name val="Arial Narrow"/>
      <family val="2"/>
    </font>
    <font>
      <b/>
      <sz val="8"/>
      <name val="Arial"/>
      <family val="2"/>
    </font>
    <font>
      <b/>
      <sz val="10"/>
      <color theme="0"/>
      <name val="Arial Narrow"/>
      <family val="2"/>
    </font>
    <font>
      <sz val="10"/>
      <name val="Arial Narrow"/>
      <family val="2"/>
    </font>
    <font>
      <sz val="10"/>
      <name val="Arial"/>
      <family val="2"/>
    </font>
    <font>
      <b/>
      <u/>
      <sz val="12"/>
      <color rgb="FFFF0000"/>
      <name val="Arial"/>
      <family val="2"/>
    </font>
    <font>
      <sz val="12"/>
      <color rgb="FFFF0000"/>
      <name val="Arial"/>
      <family val="2"/>
    </font>
    <font>
      <sz val="11"/>
      <color rgb="FFFF0000"/>
      <name val="Segoe UI"/>
      <family val="2"/>
    </font>
    <font>
      <b/>
      <u/>
      <sz val="10"/>
      <name val="Arial"/>
      <family val="2"/>
    </font>
    <font>
      <b/>
      <sz val="10"/>
      <name val="Arial"/>
      <family val="2"/>
    </font>
    <font>
      <i/>
      <sz val="10"/>
      <name val="Arial"/>
      <family val="2"/>
    </font>
    <font>
      <b/>
      <sz val="9"/>
      <color theme="0"/>
      <name val="Arial"/>
      <family val="2"/>
    </font>
    <font>
      <b/>
      <i/>
      <u/>
      <sz val="10"/>
      <name val="Arial"/>
      <family val="2"/>
    </font>
    <font>
      <b/>
      <sz val="10"/>
      <color rgb="FFFF0000"/>
      <name val="Arial"/>
      <family val="2"/>
    </font>
    <font>
      <b/>
      <sz val="11"/>
      <color theme="1"/>
      <name val="Calibri"/>
      <family val="2"/>
      <charset val="162"/>
      <scheme val="minor"/>
    </font>
    <font>
      <u/>
      <sz val="10"/>
      <color theme="10"/>
      <name val="Arial"/>
      <family val="2"/>
    </font>
    <font>
      <b/>
      <sz val="14"/>
      <color theme="1"/>
      <name val="Calibri"/>
      <family val="2"/>
      <charset val="162"/>
      <scheme val="minor"/>
    </font>
    <font>
      <sz val="10"/>
      <color theme="1"/>
      <name val="Calibri"/>
      <family val="2"/>
      <charset val="162"/>
      <scheme val="minor"/>
    </font>
    <font>
      <b/>
      <sz val="12"/>
      <color rgb="FFFF0000"/>
      <name val="Calibri"/>
      <family val="2"/>
      <charset val="162"/>
      <scheme val="minor"/>
    </font>
    <font>
      <sz val="10"/>
      <color rgb="FFFF0000"/>
      <name val="Calibri"/>
      <family val="2"/>
      <charset val="162"/>
      <scheme val="minor"/>
    </font>
    <font>
      <b/>
      <sz val="10"/>
      <color theme="1"/>
      <name val="Calibri"/>
      <family val="2"/>
      <charset val="162"/>
      <scheme val="minor"/>
    </font>
    <font>
      <b/>
      <sz val="14"/>
      <color rgb="FFFF0000"/>
      <name val="Calibri"/>
      <family val="2"/>
      <charset val="162"/>
      <scheme val="minor"/>
    </font>
    <font>
      <b/>
      <sz val="16"/>
      <color theme="1"/>
      <name val="Calibri"/>
      <family val="2"/>
      <charset val="162"/>
      <scheme val="minor"/>
    </font>
    <font>
      <sz val="14"/>
      <color theme="1"/>
      <name val="Calibri"/>
      <family val="2"/>
      <charset val="162"/>
      <scheme val="minor"/>
    </font>
    <font>
      <sz val="12"/>
      <color theme="1"/>
      <name val="Calibri"/>
      <family val="2"/>
      <charset val="162"/>
      <scheme val="minor"/>
    </font>
    <font>
      <sz val="9"/>
      <color theme="1"/>
      <name val="Calibri"/>
      <family val="2"/>
      <charset val="162"/>
      <scheme val="minor"/>
    </font>
  </fonts>
  <fills count="14">
    <fill>
      <patternFill patternType="none"/>
    </fill>
    <fill>
      <patternFill patternType="gray125"/>
    </fill>
    <fill>
      <patternFill patternType="solid">
        <fgColor theme="9"/>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9" tint="-0.499984740745262"/>
        <bgColor indexed="64"/>
      </patternFill>
    </fill>
    <fill>
      <patternFill patternType="solid">
        <fgColor theme="7" tint="0.79998168889431442"/>
        <bgColor indexed="64"/>
      </patternFill>
    </fill>
    <fill>
      <patternFill patternType="solid">
        <fgColor rgb="FFFFFFCC"/>
        <bgColor indexed="64"/>
      </patternFill>
    </fill>
    <fill>
      <patternFill patternType="solid">
        <fgColor theme="0" tint="-0.249977111117893"/>
        <bgColor indexed="64"/>
      </patternFill>
    </fill>
    <fill>
      <patternFill patternType="solid">
        <fgColor rgb="FF7030A0"/>
        <bgColor indexed="64"/>
      </patternFill>
    </fill>
    <fill>
      <patternFill patternType="solid">
        <fgColor theme="7" tint="0.59999389629810485"/>
        <bgColor indexed="64"/>
      </patternFill>
    </fill>
    <fill>
      <patternFill patternType="solid">
        <fgColor rgb="FFFFFF00"/>
        <bgColor indexed="64"/>
      </patternFill>
    </fill>
    <fill>
      <patternFill patternType="solid">
        <fgColor theme="0" tint="-0.14999847407452621"/>
        <bgColor indexed="64"/>
      </patternFill>
    </fill>
  </fills>
  <borders count="24">
    <border>
      <left/>
      <right/>
      <top/>
      <bottom/>
      <diagonal/>
    </border>
    <border>
      <left style="medium">
        <color theme="9" tint="-0.499984740745262"/>
      </left>
      <right/>
      <top style="medium">
        <color theme="9" tint="-0.499984740745262"/>
      </top>
      <bottom style="medium">
        <color theme="9" tint="-0.499984740745262"/>
      </bottom>
      <diagonal/>
    </border>
    <border>
      <left style="medium">
        <color theme="9" tint="-0.499984740745262"/>
      </left>
      <right style="medium">
        <color theme="9" tint="-0.499984740745262"/>
      </right>
      <top style="medium">
        <color theme="9" tint="-0.499984740745262"/>
      </top>
      <bottom style="medium">
        <color theme="9" tint="-0.499984740745262"/>
      </bottom>
      <diagonal/>
    </border>
    <border>
      <left/>
      <right style="medium">
        <color theme="9" tint="-0.499984740745262"/>
      </right>
      <top style="medium">
        <color theme="9" tint="-0.499984740745262"/>
      </top>
      <bottom style="medium">
        <color theme="9" tint="-0.499984740745262"/>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43" fontId="14" fillId="0" borderId="0" applyFont="0" applyFill="0" applyBorder="0" applyAlignment="0" applyProtection="0"/>
    <xf numFmtId="0" fontId="25" fillId="0" borderId="0" applyNumberFormat="0" applyFill="0" applyBorder="0" applyAlignment="0" applyProtection="0"/>
  </cellStyleXfs>
  <cellXfs count="167">
    <xf numFmtId="0" fontId="0" fillId="0" borderId="0" xfId="0"/>
    <xf numFmtId="0" fontId="1" fillId="2" borderId="0" xfId="0" applyFont="1" applyFill="1" applyAlignment="1">
      <alignment vertical="center"/>
    </xf>
    <xf numFmtId="0" fontId="0" fillId="0" borderId="0" xfId="0" applyAlignment="1">
      <alignment vertical="center"/>
    </xf>
    <xf numFmtId="0" fontId="0" fillId="3" borderId="0" xfId="0" applyFill="1" applyAlignment="1">
      <alignment vertical="center"/>
    </xf>
    <xf numFmtId="0" fontId="1" fillId="2" borderId="1" xfId="0" applyFont="1" applyFill="1" applyBorder="1" applyAlignment="1">
      <alignment vertical="center"/>
    </xf>
    <xf numFmtId="0" fontId="3" fillId="3" borderId="0" xfId="0" applyFont="1" applyFill="1" applyAlignment="1">
      <alignment vertical="center"/>
    </xf>
    <xf numFmtId="0" fontId="4" fillId="2" borderId="0" xfId="0" applyFont="1" applyFill="1" applyAlignment="1">
      <alignment vertical="center"/>
    </xf>
    <xf numFmtId="0" fontId="1" fillId="5" borderId="0" xfId="0" applyFont="1" applyFill="1" applyAlignment="1">
      <alignment vertical="center"/>
    </xf>
    <xf numFmtId="0" fontId="6" fillId="0" borderId="0" xfId="0" applyFont="1" applyAlignment="1">
      <alignment vertical="center"/>
    </xf>
    <xf numFmtId="0" fontId="3" fillId="0" borderId="0" xfId="0" applyFont="1" applyAlignment="1">
      <alignment vertical="center"/>
    </xf>
    <xf numFmtId="0" fontId="7" fillId="5" borderId="0" xfId="0" applyFont="1" applyFill="1" applyAlignment="1">
      <alignment vertical="center"/>
    </xf>
    <xf numFmtId="0" fontId="8" fillId="5" borderId="0" xfId="0" applyFont="1" applyFill="1" applyAlignment="1">
      <alignment vertical="center"/>
    </xf>
    <xf numFmtId="0" fontId="6" fillId="0" borderId="0" xfId="0" applyFont="1" applyAlignment="1">
      <alignment horizontal="center" vertical="center"/>
    </xf>
    <xf numFmtId="165" fontId="6" fillId="0" borderId="0" xfId="0" applyNumberFormat="1" applyFont="1" applyAlignment="1">
      <alignment vertical="center"/>
    </xf>
    <xf numFmtId="0" fontId="0" fillId="0" borderId="0" xfId="0" applyAlignment="1">
      <alignment horizontal="left"/>
    </xf>
    <xf numFmtId="3" fontId="0" fillId="0" borderId="0" xfId="0" applyNumberFormat="1"/>
    <xf numFmtId="0" fontId="1" fillId="2" borderId="0" xfId="0" applyFont="1" applyFill="1" applyAlignment="1">
      <alignment horizontal="center"/>
    </xf>
    <xf numFmtId="0" fontId="0" fillId="0" borderId="0" xfId="0" applyAlignment="1">
      <alignment horizontal="center"/>
    </xf>
    <xf numFmtId="3" fontId="1" fillId="2" borderId="0" xfId="0" applyNumberFormat="1" applyFont="1" applyFill="1" applyAlignment="1">
      <alignment horizontal="right"/>
    </xf>
    <xf numFmtId="3" fontId="9" fillId="6" borderId="0" xfId="0" applyNumberFormat="1" applyFont="1" applyFill="1" applyAlignment="1">
      <alignment horizontal="right"/>
    </xf>
    <xf numFmtId="4" fontId="9" fillId="6" borderId="0" xfId="0" applyNumberFormat="1" applyFont="1" applyFill="1" applyAlignment="1">
      <alignment horizontal="right"/>
    </xf>
    <xf numFmtId="3" fontId="10" fillId="0" borderId="0" xfId="0" applyNumberFormat="1" applyFont="1"/>
    <xf numFmtId="4" fontId="10" fillId="0" borderId="0" xfId="0" applyNumberFormat="1" applyFont="1"/>
    <xf numFmtId="3" fontId="0" fillId="0" borderId="0" xfId="0" applyNumberFormat="1" applyAlignment="1">
      <alignment horizontal="center"/>
    </xf>
    <xf numFmtId="0" fontId="1" fillId="2" borderId="0" xfId="0" applyFont="1" applyFill="1" applyAlignment="1">
      <alignment horizontal="left" vertical="center"/>
    </xf>
    <xf numFmtId="0" fontId="0" fillId="8" borderId="4" xfId="0" applyFill="1" applyBorder="1" applyAlignment="1">
      <alignment horizontal="left" vertical="center"/>
    </xf>
    <xf numFmtId="0" fontId="0" fillId="8" borderId="4" xfId="0" applyFill="1" applyBorder="1" applyAlignment="1">
      <alignment horizontal="right" vertical="center"/>
    </xf>
    <xf numFmtId="3" fontId="0" fillId="8" borderId="5" xfId="0" applyNumberFormat="1" applyFill="1" applyBorder="1" applyAlignment="1">
      <alignment vertical="center"/>
    </xf>
    <xf numFmtId="166" fontId="13" fillId="0" borderId="0" xfId="0" applyNumberFormat="1" applyFont="1" applyAlignment="1">
      <alignment horizontal="center" vertical="center"/>
    </xf>
    <xf numFmtId="3" fontId="0" fillId="0" borderId="0" xfId="0" applyNumberFormat="1" applyAlignment="1">
      <alignment vertical="center"/>
    </xf>
    <xf numFmtId="3" fontId="10" fillId="0" borderId="0" xfId="0" applyNumberFormat="1" applyFont="1" applyAlignment="1">
      <alignment vertical="center"/>
    </xf>
    <xf numFmtId="4" fontId="10" fillId="0" borderId="0" xfId="0" applyNumberFormat="1" applyFont="1" applyAlignment="1">
      <alignment vertical="center"/>
    </xf>
    <xf numFmtId="0" fontId="0" fillId="8" borderId="7" xfId="0" applyFill="1" applyBorder="1" applyAlignment="1">
      <alignment horizontal="left" vertical="center"/>
    </xf>
    <xf numFmtId="0" fontId="0" fillId="8" borderId="7" xfId="0" applyFill="1" applyBorder="1" applyAlignment="1">
      <alignment horizontal="right" vertical="center"/>
    </xf>
    <xf numFmtId="3" fontId="0" fillId="8" borderId="8" xfId="0" applyNumberFormat="1" applyFill="1" applyBorder="1" applyAlignment="1">
      <alignment vertical="center"/>
    </xf>
    <xf numFmtId="0" fontId="0" fillId="8" borderId="9" xfId="0" applyFill="1" applyBorder="1" applyAlignment="1">
      <alignment horizontal="left" vertical="center"/>
    </xf>
    <xf numFmtId="3" fontId="0" fillId="8" borderId="10" xfId="0" applyNumberFormat="1" applyFill="1" applyBorder="1" applyAlignment="1">
      <alignment vertical="center"/>
    </xf>
    <xf numFmtId="0" fontId="0" fillId="7" borderId="0" xfId="0" applyFill="1" applyAlignment="1">
      <alignment horizontal="left" vertical="center"/>
    </xf>
    <xf numFmtId="3" fontId="0" fillId="7" borderId="0" xfId="0" applyNumberFormat="1" applyFill="1" applyAlignment="1">
      <alignment vertical="center"/>
    </xf>
    <xf numFmtId="0" fontId="0" fillId="0" borderId="0" xfId="0" applyAlignment="1">
      <alignment horizontal="left" vertical="center"/>
    </xf>
    <xf numFmtId="0" fontId="0" fillId="0" borderId="0" xfId="0" applyAlignment="1">
      <alignment horizontal="right" vertical="center"/>
    </xf>
    <xf numFmtId="0" fontId="1" fillId="2" borderId="0" xfId="0" applyFont="1" applyFill="1" applyAlignment="1">
      <alignment horizontal="center" vertical="center" wrapText="1"/>
    </xf>
    <xf numFmtId="166" fontId="12" fillId="2" borderId="0" xfId="0" applyNumberFormat="1" applyFont="1" applyFill="1" applyAlignment="1">
      <alignment horizontal="center" vertical="center" wrapText="1"/>
    </xf>
    <xf numFmtId="3" fontId="1" fillId="2" borderId="0" xfId="0" applyNumberFormat="1" applyFont="1" applyFill="1" applyAlignment="1">
      <alignment horizontal="right" vertical="center" wrapText="1"/>
    </xf>
    <xf numFmtId="3" fontId="9" fillId="6" borderId="0" xfId="0" applyNumberFormat="1" applyFont="1" applyFill="1" applyAlignment="1">
      <alignment horizontal="right" vertical="center" wrapText="1"/>
    </xf>
    <xf numFmtId="4" fontId="9" fillId="6" borderId="0" xfId="0" applyNumberFormat="1" applyFont="1" applyFill="1" applyAlignment="1">
      <alignment horizontal="right" vertical="center" wrapText="1"/>
    </xf>
    <xf numFmtId="0" fontId="15" fillId="0" borderId="0" xfId="0" applyFont="1" applyAlignment="1">
      <alignment vertical="center"/>
    </xf>
    <xf numFmtId="0" fontId="17" fillId="0" borderId="0" xfId="0" applyFont="1" applyAlignment="1">
      <alignment vertical="center"/>
    </xf>
    <xf numFmtId="0" fontId="18" fillId="0" borderId="0" xfId="0" applyFont="1" applyAlignment="1">
      <alignment vertical="center"/>
    </xf>
    <xf numFmtId="0" fontId="19" fillId="0" borderId="0" xfId="0" applyFont="1" applyAlignment="1">
      <alignment vertical="center"/>
    </xf>
    <xf numFmtId="0" fontId="0" fillId="0" borderId="0" xfId="0" quotePrefix="1" applyAlignment="1">
      <alignment vertical="center"/>
    </xf>
    <xf numFmtId="0" fontId="20" fillId="0" borderId="0" xfId="0" applyFont="1" applyAlignment="1">
      <alignment horizontal="left" vertical="center" wrapText="1"/>
    </xf>
    <xf numFmtId="0" fontId="0" fillId="0" borderId="0" xfId="0" applyAlignment="1">
      <alignment horizontal="left" vertical="center" wrapText="1"/>
    </xf>
    <xf numFmtId="0" fontId="20" fillId="0" borderId="0" xfId="0" quotePrefix="1" applyFont="1" applyAlignment="1">
      <alignment horizontal="left" vertical="center"/>
    </xf>
    <xf numFmtId="0" fontId="2" fillId="8" borderId="2" xfId="0" applyFont="1" applyFill="1" applyBorder="1" applyAlignment="1" applyProtection="1">
      <alignment horizontal="center" vertical="center"/>
      <protection locked="0"/>
    </xf>
    <xf numFmtId="0" fontId="1" fillId="2" borderId="1" xfId="0" applyFont="1" applyFill="1" applyBorder="1" applyAlignment="1">
      <alignment vertical="center" wrapText="1"/>
    </xf>
    <xf numFmtId="167" fontId="2" fillId="8" borderId="2" xfId="1" applyNumberFormat="1" applyFont="1" applyFill="1" applyBorder="1" applyAlignment="1" applyProtection="1">
      <alignment vertical="center"/>
      <protection locked="0"/>
    </xf>
    <xf numFmtId="167" fontId="5" fillId="0" borderId="3" xfId="1" applyNumberFormat="1" applyFont="1" applyBorder="1" applyAlignment="1" applyProtection="1">
      <alignment vertical="center"/>
    </xf>
    <xf numFmtId="3" fontId="6" fillId="0" borderId="0" xfId="0" applyNumberFormat="1" applyFont="1" applyAlignment="1">
      <alignment vertical="center"/>
    </xf>
    <xf numFmtId="4" fontId="6" fillId="0" borderId="0" xfId="0" applyNumberFormat="1" applyFont="1" applyAlignment="1">
      <alignment vertical="center"/>
    </xf>
    <xf numFmtId="0" fontId="21" fillId="5" borderId="0" xfId="0" applyFont="1" applyFill="1"/>
    <xf numFmtId="0" fontId="6" fillId="9" borderId="0" xfId="0" applyFont="1" applyFill="1"/>
    <xf numFmtId="3" fontId="9" fillId="6" borderId="0" xfId="0" applyNumberFormat="1" applyFont="1" applyFill="1" applyAlignment="1">
      <alignment horizontal="right" wrapText="1"/>
    </xf>
    <xf numFmtId="4" fontId="9" fillId="6" borderId="0" xfId="0" applyNumberFormat="1" applyFont="1" applyFill="1" applyAlignment="1">
      <alignment horizontal="right" wrapText="1"/>
    </xf>
    <xf numFmtId="49" fontId="0" fillId="0" borderId="0" xfId="0" applyNumberFormat="1" applyAlignment="1">
      <alignment vertical="center"/>
    </xf>
    <xf numFmtId="49" fontId="0" fillId="0" borderId="0" xfId="0" quotePrefix="1" applyNumberFormat="1" applyAlignment="1">
      <alignment vertical="center"/>
    </xf>
    <xf numFmtId="49" fontId="20" fillId="0" borderId="0" xfId="0" applyNumberFormat="1" applyFont="1" applyAlignment="1">
      <alignment horizontal="left" vertical="center" wrapText="1"/>
    </xf>
    <xf numFmtId="49" fontId="19" fillId="0" borderId="0" xfId="0" quotePrefix="1" applyNumberFormat="1" applyFont="1" applyAlignment="1">
      <alignment horizontal="left" vertical="center"/>
    </xf>
    <xf numFmtId="49" fontId="0" fillId="0" borderId="0" xfId="0" applyNumberFormat="1" applyAlignment="1">
      <alignment horizontal="left" vertical="center"/>
    </xf>
    <xf numFmtId="49" fontId="0" fillId="0" borderId="0" xfId="0" applyNumberFormat="1"/>
    <xf numFmtId="49" fontId="19" fillId="0" borderId="0" xfId="0" applyNumberFormat="1" applyFont="1" applyAlignment="1">
      <alignment horizontal="left" vertical="center"/>
    </xf>
    <xf numFmtId="0" fontId="19" fillId="0" borderId="0" xfId="0" applyFont="1"/>
    <xf numFmtId="0" fontId="1" fillId="10" borderId="0" xfId="0" applyFont="1" applyFill="1"/>
    <xf numFmtId="10" fontId="1" fillId="10" borderId="0" xfId="0" applyNumberFormat="1" applyFont="1" applyFill="1"/>
    <xf numFmtId="2" fontId="0" fillId="0" borderId="0" xfId="0" applyNumberFormat="1"/>
    <xf numFmtId="2" fontId="0" fillId="0" borderId="0" xfId="0" applyNumberFormat="1" applyAlignment="1">
      <alignment horizontal="center"/>
    </xf>
    <xf numFmtId="9" fontId="19" fillId="0" borderId="0" xfId="0" applyNumberFormat="1" applyFont="1"/>
    <xf numFmtId="168" fontId="0" fillId="0" borderId="0" xfId="1" applyNumberFormat="1" applyFont="1"/>
    <xf numFmtId="4" fontId="0" fillId="0" borderId="0" xfId="0" applyNumberFormat="1"/>
    <xf numFmtId="0" fontId="22" fillId="0" borderId="0" xfId="0" applyFont="1"/>
    <xf numFmtId="0" fontId="16" fillId="0" borderId="0" xfId="0" applyFont="1" applyAlignment="1">
      <alignment horizontal="left" vertical="center" wrapText="1"/>
    </xf>
    <xf numFmtId="0" fontId="17" fillId="0" borderId="0" xfId="0" applyFont="1" applyAlignment="1">
      <alignment horizontal="left" vertical="center" wrapText="1"/>
    </xf>
    <xf numFmtId="49" fontId="23" fillId="0" borderId="0" xfId="0" applyNumberFormat="1" applyFont="1" applyAlignment="1">
      <alignment horizontal="left" vertical="center"/>
    </xf>
    <xf numFmtId="3" fontId="5" fillId="0" borderId="3" xfId="1" applyNumberFormat="1" applyFont="1" applyBorder="1" applyAlignment="1" applyProtection="1">
      <alignment horizontal="center" vertical="center"/>
    </xf>
    <xf numFmtId="169" fontId="0" fillId="0" borderId="0" xfId="0" applyNumberFormat="1"/>
    <xf numFmtId="169" fontId="6" fillId="0" borderId="0" xfId="0" applyNumberFormat="1" applyFont="1" applyAlignment="1">
      <alignment vertical="center"/>
    </xf>
    <xf numFmtId="170" fontId="6" fillId="0" borderId="0" xfId="0" applyNumberFormat="1" applyFont="1" applyAlignment="1">
      <alignment vertical="center"/>
    </xf>
    <xf numFmtId="170" fontId="9" fillId="6" borderId="0" xfId="0" applyNumberFormat="1" applyFont="1" applyFill="1" applyAlignment="1">
      <alignment horizontal="right"/>
    </xf>
    <xf numFmtId="170" fontId="10" fillId="0" borderId="0" xfId="0" applyNumberFormat="1" applyFont="1"/>
    <xf numFmtId="0" fontId="2" fillId="4" borderId="2" xfId="0" applyFont="1" applyFill="1" applyBorder="1" applyAlignment="1">
      <alignment horizontal="center" vertical="center"/>
    </xf>
    <xf numFmtId="0" fontId="2" fillId="4" borderId="2" xfId="0" applyFont="1" applyFill="1" applyBorder="1" applyAlignment="1">
      <alignment horizontal="center" vertical="center" wrapText="1"/>
    </xf>
    <xf numFmtId="3" fontId="6" fillId="0" borderId="0" xfId="0" applyNumberFormat="1" applyFont="1" applyAlignment="1">
      <alignment horizontal="center" vertical="center"/>
    </xf>
    <xf numFmtId="0" fontId="11" fillId="0" borderId="0" xfId="0" applyFont="1" applyAlignment="1">
      <alignment horizontal="center" vertical="center"/>
    </xf>
    <xf numFmtId="0" fontId="11" fillId="0" borderId="0" xfId="0" applyFont="1" applyAlignment="1">
      <alignment horizontal="right" vertical="center"/>
    </xf>
    <xf numFmtId="0" fontId="11" fillId="0" borderId="0" xfId="0" applyFont="1" applyAlignment="1">
      <alignment vertical="center"/>
    </xf>
    <xf numFmtId="3" fontId="11" fillId="0" borderId="0" xfId="0" applyNumberFormat="1" applyFont="1" applyAlignment="1">
      <alignment vertical="center"/>
    </xf>
    <xf numFmtId="3" fontId="2" fillId="8" borderId="2" xfId="0" applyNumberFormat="1" applyFont="1" applyFill="1" applyBorder="1" applyAlignment="1" applyProtection="1">
      <alignment vertical="center"/>
      <protection locked="0"/>
    </xf>
    <xf numFmtId="164" fontId="2" fillId="8" borderId="2" xfId="0" applyNumberFormat="1" applyFont="1" applyFill="1" applyBorder="1" applyAlignment="1" applyProtection="1">
      <alignment vertical="center"/>
      <protection locked="0"/>
    </xf>
    <xf numFmtId="0" fontId="1" fillId="2" borderId="0" xfId="0" applyFont="1" applyFill="1" applyAlignment="1" applyProtection="1">
      <alignment horizontal="left"/>
      <protection locked="0"/>
    </xf>
    <xf numFmtId="3" fontId="1" fillId="2" borderId="0" xfId="0" applyNumberFormat="1" applyFont="1" applyFill="1" applyAlignment="1" applyProtection="1">
      <alignment horizontal="center"/>
      <protection locked="0"/>
    </xf>
    <xf numFmtId="0" fontId="1" fillId="2" borderId="0" xfId="0" applyFont="1" applyFill="1" applyProtection="1">
      <protection locked="0"/>
    </xf>
    <xf numFmtId="0" fontId="0" fillId="8" borderId="4" xfId="0" applyFill="1" applyBorder="1" applyAlignment="1" applyProtection="1">
      <alignment horizontal="left"/>
      <protection locked="0"/>
    </xf>
    <xf numFmtId="3" fontId="0" fillId="8" borderId="5" xfId="0" applyNumberFormat="1" applyFill="1" applyBorder="1" applyProtection="1">
      <protection locked="0"/>
    </xf>
    <xf numFmtId="0" fontId="0" fillId="8" borderId="6" xfId="0" applyFill="1" applyBorder="1" applyProtection="1">
      <protection locked="0"/>
    </xf>
    <xf numFmtId="0" fontId="0" fillId="8" borderId="7" xfId="0" applyFill="1" applyBorder="1" applyAlignment="1" applyProtection="1">
      <alignment horizontal="left"/>
      <protection locked="0"/>
    </xf>
    <xf numFmtId="3" fontId="0" fillId="8" borderId="8" xfId="0" applyNumberFormat="1" applyFill="1" applyBorder="1" applyProtection="1">
      <protection locked="0"/>
    </xf>
    <xf numFmtId="0" fontId="0" fillId="0" borderId="0" xfId="0" applyAlignment="1" applyProtection="1">
      <alignment horizontal="left"/>
      <protection locked="0"/>
    </xf>
    <xf numFmtId="3" fontId="0" fillId="0" borderId="0" xfId="0" applyNumberFormat="1" applyProtection="1">
      <protection locked="0"/>
    </xf>
    <xf numFmtId="0" fontId="0" fillId="0" borderId="0" xfId="0" applyProtection="1">
      <protection locked="0"/>
    </xf>
    <xf numFmtId="167" fontId="5" fillId="0" borderId="3" xfId="1" applyNumberFormat="1" applyFont="1" applyBorder="1" applyAlignment="1" applyProtection="1">
      <alignment horizontal="center" vertical="center"/>
    </xf>
    <xf numFmtId="171" fontId="0" fillId="0" borderId="0" xfId="0" applyNumberFormat="1"/>
    <xf numFmtId="0" fontId="0" fillId="11" borderId="14" xfId="0" applyFill="1" applyBorder="1"/>
    <xf numFmtId="0" fontId="0" fillId="11" borderId="14" xfId="0" applyFill="1" applyBorder="1" applyAlignment="1">
      <alignment wrapText="1"/>
    </xf>
    <xf numFmtId="0" fontId="0" fillId="11" borderId="15" xfId="0" applyFill="1" applyBorder="1"/>
    <xf numFmtId="14" fontId="0" fillId="11" borderId="15" xfId="0" applyNumberFormat="1" applyFill="1" applyBorder="1" applyAlignment="1">
      <alignment horizontal="center"/>
    </xf>
    <xf numFmtId="172" fontId="0" fillId="11" borderId="15" xfId="0" applyNumberFormat="1" applyFill="1" applyBorder="1" applyAlignment="1">
      <alignment horizontal="center"/>
    </xf>
    <xf numFmtId="173" fontId="0" fillId="12" borderId="14" xfId="0" applyNumberFormat="1" applyFill="1" applyBorder="1" applyProtection="1">
      <protection locked="0"/>
    </xf>
    <xf numFmtId="173" fontId="0" fillId="11" borderId="14" xfId="0" applyNumberFormat="1" applyFill="1" applyBorder="1"/>
    <xf numFmtId="174" fontId="0" fillId="11" borderId="14" xfId="0" applyNumberFormat="1" applyFill="1" applyBorder="1"/>
    <xf numFmtId="14" fontId="0" fillId="11" borderId="14" xfId="0" applyNumberFormat="1" applyFill="1" applyBorder="1" applyAlignment="1">
      <alignment horizontal="center"/>
    </xf>
    <xf numFmtId="172" fontId="0" fillId="11" borderId="14" xfId="0" applyNumberFormat="1" applyFill="1" applyBorder="1" applyAlignment="1">
      <alignment horizontal="center"/>
    </xf>
    <xf numFmtId="0" fontId="32" fillId="11" borderId="14" xfId="0" applyFont="1" applyFill="1" applyBorder="1" applyAlignment="1">
      <alignment horizontal="center"/>
    </xf>
    <xf numFmtId="0" fontId="26" fillId="0" borderId="11"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7" fillId="0" borderId="11" xfId="0" applyFont="1" applyBorder="1" applyAlignment="1">
      <alignment horizontal="left" vertical="center" wrapText="1"/>
    </xf>
    <xf numFmtId="0" fontId="27" fillId="0" borderId="12" xfId="0" applyFont="1" applyBorder="1" applyAlignment="1">
      <alignment horizontal="left" vertical="center" wrapText="1"/>
    </xf>
    <xf numFmtId="0" fontId="27" fillId="0" borderId="13" xfId="0" applyFont="1" applyBorder="1" applyAlignment="1">
      <alignment horizontal="left" vertical="center" wrapText="1"/>
    </xf>
    <xf numFmtId="0" fontId="27" fillId="0" borderId="11" xfId="0" applyFont="1" applyBorder="1" applyAlignment="1">
      <alignment horizontal="center" vertical="top" wrapText="1"/>
    </xf>
    <xf numFmtId="0" fontId="27" fillId="0" borderId="12" xfId="0" applyFont="1" applyBorder="1" applyAlignment="1">
      <alignment horizontal="center" vertical="top" wrapText="1"/>
    </xf>
    <xf numFmtId="0" fontId="27" fillId="0" borderId="13" xfId="0" applyFont="1" applyBorder="1" applyAlignment="1">
      <alignment horizontal="center" vertical="top" wrapText="1"/>
    </xf>
    <xf numFmtId="0" fontId="31" fillId="0" borderId="11" xfId="0" applyFont="1" applyBorder="1" applyAlignment="1">
      <alignment horizontal="center" vertical="center" wrapText="1"/>
    </xf>
    <xf numFmtId="0" fontId="25" fillId="11" borderId="11" xfId="2" applyFill="1" applyBorder="1" applyAlignment="1">
      <alignment horizontal="center"/>
    </xf>
    <xf numFmtId="0" fontId="25" fillId="11" borderId="12" xfId="2" applyFill="1" applyBorder="1" applyAlignment="1">
      <alignment horizontal="center"/>
    </xf>
    <xf numFmtId="0" fontId="25" fillId="11" borderId="13" xfId="2" applyFill="1" applyBorder="1" applyAlignment="1">
      <alignment horizontal="center"/>
    </xf>
    <xf numFmtId="0" fontId="26" fillId="12" borderId="14" xfId="0" applyFont="1" applyFill="1" applyBorder="1" applyAlignment="1" applyProtection="1">
      <alignment horizontal="center" vertical="center"/>
      <protection locked="0"/>
    </xf>
    <xf numFmtId="0" fontId="33" fillId="11" borderId="14" xfId="0" applyFont="1" applyFill="1" applyBorder="1" applyAlignment="1">
      <alignment horizontal="center"/>
    </xf>
    <xf numFmtId="0" fontId="25" fillId="11" borderId="14" xfId="2" applyFill="1" applyBorder="1" applyAlignment="1">
      <alignment horizontal="center"/>
    </xf>
    <xf numFmtId="0" fontId="34" fillId="0" borderId="16" xfId="0" applyFont="1" applyBorder="1" applyAlignment="1">
      <alignment horizontal="center" vertical="top" wrapText="1"/>
    </xf>
    <xf numFmtId="0" fontId="34" fillId="0" borderId="17" xfId="0" applyFont="1" applyBorder="1" applyAlignment="1">
      <alignment horizontal="center" vertical="top"/>
    </xf>
    <xf numFmtId="0" fontId="34" fillId="0" borderId="18" xfId="0" applyFont="1" applyBorder="1" applyAlignment="1">
      <alignment horizontal="center" vertical="top"/>
    </xf>
    <xf numFmtId="0" fontId="34" fillId="0" borderId="19" xfId="0" applyFont="1" applyBorder="1" applyAlignment="1">
      <alignment horizontal="center" vertical="top"/>
    </xf>
    <xf numFmtId="0" fontId="34" fillId="0" borderId="0" xfId="0" applyFont="1" applyAlignment="1">
      <alignment horizontal="center" vertical="top"/>
    </xf>
    <xf numFmtId="0" fontId="34" fillId="0" borderId="20" xfId="0" applyFont="1" applyBorder="1" applyAlignment="1">
      <alignment horizontal="center" vertical="top"/>
    </xf>
    <xf numFmtId="0" fontId="34" fillId="0" borderId="21" xfId="0" applyFont="1" applyBorder="1" applyAlignment="1">
      <alignment horizontal="center" vertical="top"/>
    </xf>
    <xf numFmtId="0" fontId="34" fillId="0" borderId="22" xfId="0" applyFont="1" applyBorder="1" applyAlignment="1">
      <alignment horizontal="center" vertical="top"/>
    </xf>
    <xf numFmtId="0" fontId="34" fillId="0" borderId="23" xfId="0" applyFont="1" applyBorder="1" applyAlignment="1">
      <alignment horizontal="center" vertical="top"/>
    </xf>
    <xf numFmtId="0" fontId="0" fillId="13" borderId="11" xfId="0" applyFill="1" applyBorder="1" applyAlignment="1">
      <alignment horizontal="left" vertical="center" wrapText="1"/>
    </xf>
    <xf numFmtId="0" fontId="0" fillId="13" borderId="12" xfId="0" applyFill="1" applyBorder="1" applyAlignment="1">
      <alignment horizontal="left" vertical="center" wrapText="1"/>
    </xf>
    <xf numFmtId="0" fontId="0" fillId="13" borderId="13" xfId="0" applyFill="1" applyBorder="1" applyAlignment="1">
      <alignment horizontal="left" vertical="center" wrapText="1"/>
    </xf>
    <xf numFmtId="0" fontId="34" fillId="0" borderId="14" xfId="0" applyFont="1" applyBorder="1" applyAlignment="1">
      <alignment horizontal="left" wrapText="1"/>
    </xf>
    <xf numFmtId="0" fontId="34" fillId="0" borderId="14" xfId="0" applyFont="1" applyBorder="1" applyAlignment="1">
      <alignment horizontal="left"/>
    </xf>
    <xf numFmtId="0" fontId="0" fillId="0" borderId="14" xfId="0" applyBorder="1" applyAlignment="1" applyProtection="1">
      <alignment horizontal="center"/>
      <protection locked="0"/>
    </xf>
    <xf numFmtId="0" fontId="34" fillId="0" borderId="14" xfId="0" applyFont="1" applyBorder="1" applyAlignment="1">
      <alignment horizontal="left" vertical="center"/>
    </xf>
    <xf numFmtId="0" fontId="34" fillId="0" borderId="11" xfId="0" applyFont="1" applyBorder="1" applyAlignment="1">
      <alignment horizontal="center" vertical="center"/>
    </xf>
    <xf numFmtId="0" fontId="34" fillId="0" borderId="12" xfId="0" applyFont="1" applyBorder="1" applyAlignment="1">
      <alignment horizontal="center" vertical="center"/>
    </xf>
    <xf numFmtId="0" fontId="34" fillId="0" borderId="13" xfId="0" applyFont="1" applyBorder="1" applyAlignment="1">
      <alignment horizontal="center" vertical="center"/>
    </xf>
    <xf numFmtId="0" fontId="32" fillId="11" borderId="11" xfId="0" applyFont="1" applyFill="1" applyBorder="1" applyAlignment="1">
      <alignment horizontal="center"/>
    </xf>
    <xf numFmtId="0" fontId="32" fillId="11" borderId="12" xfId="0" applyFont="1" applyFill="1" applyBorder="1" applyAlignment="1">
      <alignment horizontal="center"/>
    </xf>
    <xf numFmtId="0" fontId="32" fillId="11" borderId="13" xfId="0" applyFont="1" applyFill="1" applyBorder="1" applyAlignment="1">
      <alignment horizontal="center"/>
    </xf>
    <xf numFmtId="0" fontId="26" fillId="12" borderId="11" xfId="0" applyFont="1" applyFill="1" applyBorder="1" applyAlignment="1" applyProtection="1">
      <alignment horizontal="center" vertical="center"/>
      <protection locked="0"/>
    </xf>
    <xf numFmtId="0" fontId="26" fillId="12" borderId="12" xfId="0" applyFont="1" applyFill="1" applyBorder="1" applyAlignment="1" applyProtection="1">
      <alignment horizontal="center" vertical="center"/>
      <protection locked="0"/>
    </xf>
    <xf numFmtId="0" fontId="26" fillId="12" borderId="13" xfId="0" applyFont="1" applyFill="1" applyBorder="1" applyAlignment="1" applyProtection="1">
      <alignment horizontal="center" vertical="center"/>
      <protection locked="0"/>
    </xf>
    <xf numFmtId="0" fontId="33" fillId="11" borderId="11" xfId="0" applyFont="1" applyFill="1" applyBorder="1" applyAlignment="1">
      <alignment horizontal="center"/>
    </xf>
    <xf numFmtId="0" fontId="33" fillId="11" borderId="12" xfId="0" applyFont="1" applyFill="1" applyBorder="1" applyAlignment="1">
      <alignment horizontal="center"/>
    </xf>
    <xf numFmtId="0" fontId="33" fillId="11" borderId="13" xfId="0" applyFont="1" applyFill="1" applyBorder="1" applyAlignment="1">
      <alignment horizontal="center"/>
    </xf>
    <xf numFmtId="0" fontId="30" fillId="0" borderId="14" xfId="0" applyFont="1" applyBorder="1" applyAlignment="1">
      <alignment horizontal="left" vertical="top" wrapText="1"/>
    </xf>
  </cellXfs>
  <cellStyles count="3">
    <cellStyle name="Köprü" xfId="2" builtinId="8"/>
    <cellStyle name="Normal" xfId="0" builtinId="0"/>
    <cellStyle name="Virgül" xfId="1" builtinId="3"/>
  </cellStyles>
  <dxfs count="30">
    <dxf>
      <font>
        <color theme="0" tint="-0.14996795556505021"/>
      </font>
      <fill>
        <patternFill>
          <bgColor theme="0" tint="-0.14996795556505021"/>
        </patternFill>
      </fill>
    </dxf>
    <dxf>
      <numFmt numFmtId="169" formatCode="#,##0.000;[Red]#,##0.000"/>
    </dxf>
    <dxf>
      <numFmt numFmtId="2" formatCode="0.00"/>
      <alignment horizontal="center" vertical="bottom" textRotation="0" wrapText="0" indent="0" justifyLastLine="0" shrinkToFit="0" readingOrder="0"/>
    </dxf>
    <dxf>
      <numFmt numFmtId="4" formatCode="#,##0.00"/>
    </dxf>
    <dxf>
      <numFmt numFmtId="169" formatCode="#,##0.000;[Red]#,##0.000"/>
    </dxf>
    <dxf>
      <alignment horizontal="center" vertical="bottom" textRotation="0" wrapText="0" indent="0" justifyLastLine="0" shrinkToFit="0" readingOrder="0"/>
    </dxf>
    <dxf>
      <font>
        <strike val="0"/>
        <outline val="0"/>
        <shadow val="0"/>
        <u val="none"/>
        <vertAlign val="baseline"/>
        <sz val="8"/>
        <name val="Arial"/>
        <family val="2"/>
        <scheme val="none"/>
      </font>
      <numFmt numFmtId="4" formatCode="#,##0.00"/>
      <alignment horizontal="general" vertical="center" textRotation="0" wrapText="0" indent="0" justifyLastLine="0" shrinkToFit="0" readingOrder="0"/>
      <protection locked="1" hidden="0"/>
    </dxf>
    <dxf>
      <font>
        <strike val="0"/>
        <outline val="0"/>
        <shadow val="0"/>
        <u val="none"/>
        <vertAlign val="baseline"/>
        <sz val="8"/>
        <name val="Arial"/>
        <family val="2"/>
        <scheme val="none"/>
      </font>
      <numFmt numFmtId="4" formatCode="#,##0.00"/>
      <alignment horizontal="general" vertical="center" textRotation="0" wrapText="0" indent="0" justifyLastLine="0" shrinkToFit="0" readingOrder="0"/>
      <protection locked="1" hidden="0"/>
    </dxf>
    <dxf>
      <font>
        <strike val="0"/>
        <outline val="0"/>
        <shadow val="0"/>
        <u val="none"/>
        <vertAlign val="baseline"/>
        <sz val="8"/>
        <name val="Arial"/>
        <family val="2"/>
        <scheme val="none"/>
      </font>
      <numFmt numFmtId="0" formatCode="General"/>
      <alignment horizontal="center" vertical="center" textRotation="0" wrapText="0" indent="0" justifyLastLine="0" shrinkToFit="0" readingOrder="0"/>
      <protection locked="1" hidden="0"/>
    </dxf>
    <dxf>
      <font>
        <strike val="0"/>
        <outline val="0"/>
        <shadow val="0"/>
        <u val="none"/>
        <vertAlign val="baseline"/>
        <sz val="8"/>
        <name val="Arial"/>
        <family val="2"/>
        <scheme val="none"/>
      </font>
      <numFmt numFmtId="3" formatCode="#,##0"/>
      <alignment horizontal="general" vertical="center" textRotation="0" wrapText="0" indent="0" justifyLastLine="0" shrinkToFit="0" readingOrder="0"/>
      <protection locked="1" hidden="0"/>
    </dxf>
    <dxf>
      <font>
        <strike val="0"/>
        <outline val="0"/>
        <shadow val="0"/>
        <u val="none"/>
        <vertAlign val="baseline"/>
        <sz val="8"/>
        <name val="Arial"/>
        <family val="2"/>
        <scheme val="none"/>
      </font>
      <alignment horizontal="general" vertical="center" textRotation="0" wrapText="0" indent="0" justifyLastLine="0" shrinkToFit="0" readingOrder="0"/>
      <protection locked="1" hidden="0"/>
    </dxf>
    <dxf>
      <font>
        <strike val="0"/>
        <outline val="0"/>
        <shadow val="0"/>
        <u val="none"/>
        <vertAlign val="baseline"/>
        <sz val="8"/>
        <name val="Arial"/>
        <family val="2"/>
        <scheme val="none"/>
      </font>
      <alignment horizontal="center" vertical="center" textRotation="0" wrapText="0" indent="0" justifyLastLine="0" shrinkToFit="0" readingOrder="0"/>
      <protection locked="1" hidden="0"/>
    </dxf>
    <dxf>
      <font>
        <strike val="0"/>
        <outline val="0"/>
        <shadow val="0"/>
        <u val="none"/>
        <vertAlign val="baseline"/>
        <sz val="8"/>
        <name val="Arial"/>
        <family val="2"/>
        <scheme val="none"/>
      </font>
      <numFmt numFmtId="169" formatCode="#,##0.000;[Red]#,##0.000"/>
      <alignment horizontal="general" vertical="center" textRotation="0" wrapText="0" indent="0" justifyLastLine="0" shrinkToFit="0" readingOrder="0"/>
      <protection locked="1" hidden="0"/>
    </dxf>
    <dxf>
      <font>
        <strike val="0"/>
        <outline val="0"/>
        <shadow val="0"/>
        <u val="none"/>
        <vertAlign val="baseline"/>
        <sz val="8"/>
        <name val="Arial"/>
        <family val="2"/>
        <scheme val="none"/>
      </font>
      <numFmt numFmtId="169" formatCode="#,##0.000;[Red]#,##0.000"/>
      <alignment horizontal="general" vertical="center" textRotation="0" wrapText="0" indent="0" justifyLastLine="0" shrinkToFit="0" readingOrder="0"/>
      <protection locked="1" hidden="0"/>
    </dxf>
    <dxf>
      <font>
        <strike val="0"/>
        <outline val="0"/>
        <shadow val="0"/>
        <u val="none"/>
        <vertAlign val="baseline"/>
        <sz val="8"/>
        <name val="Arial"/>
        <family val="2"/>
        <scheme val="none"/>
      </font>
      <numFmt numFmtId="3" formatCode="#,##0"/>
      <alignment horizontal="center" vertical="center" textRotation="0" wrapText="0" indent="0" justifyLastLine="0" shrinkToFit="0" readingOrder="0"/>
      <protection locked="1" hidden="0"/>
    </dxf>
    <dxf>
      <font>
        <strike val="0"/>
        <outline val="0"/>
        <shadow val="0"/>
        <u val="none"/>
        <vertAlign val="baseline"/>
        <sz val="8"/>
        <name val="Arial"/>
        <family val="2"/>
        <scheme val="none"/>
      </font>
      <numFmt numFmtId="3" formatCode="#,##0"/>
      <alignment horizontal="general" vertical="center" textRotation="0" wrapText="0" indent="0" justifyLastLine="0" shrinkToFit="0" readingOrder="0"/>
      <protection locked="1" hidden="0"/>
    </dxf>
    <dxf>
      <font>
        <strike val="0"/>
        <outline val="0"/>
        <shadow val="0"/>
        <u val="none"/>
        <vertAlign val="baseline"/>
        <sz val="8"/>
        <name val="Arial"/>
        <family val="2"/>
        <scheme val="none"/>
      </font>
      <numFmt numFmtId="3" formatCode="#,##0"/>
      <alignment horizontal="general" vertical="center" textRotation="0" wrapText="0" indent="0" justifyLastLine="0" shrinkToFit="0" readingOrder="0"/>
      <protection locked="1" hidden="0"/>
    </dxf>
    <dxf>
      <font>
        <strike val="0"/>
        <outline val="0"/>
        <shadow val="0"/>
        <u val="none"/>
        <vertAlign val="baseline"/>
        <sz val="8"/>
        <name val="Arial"/>
        <family val="2"/>
        <scheme val="none"/>
      </font>
      <alignment horizontal="center" vertical="center" textRotation="0" wrapText="0" indent="0" justifyLastLine="0" shrinkToFit="0" readingOrder="0"/>
      <protection locked="1" hidden="0"/>
    </dxf>
    <dxf>
      <font>
        <strike val="0"/>
        <outline val="0"/>
        <shadow val="0"/>
        <u val="none"/>
        <vertAlign val="baseline"/>
        <sz val="8"/>
        <name val="Arial"/>
        <family val="2"/>
        <scheme val="none"/>
      </font>
      <numFmt numFmtId="169" formatCode="#,##0.000;[Red]#,##0.000"/>
      <alignment horizontal="general" vertical="center" textRotation="0" wrapText="0" indent="0" justifyLastLine="0" shrinkToFit="0" readingOrder="0"/>
      <protection locked="1" hidden="0"/>
    </dxf>
    <dxf>
      <font>
        <strike val="0"/>
        <outline val="0"/>
        <shadow val="0"/>
        <u val="none"/>
        <vertAlign val="baseline"/>
        <sz val="8"/>
        <name val="Arial"/>
        <family val="2"/>
        <scheme val="none"/>
      </font>
      <numFmt numFmtId="169" formatCode="#,##0.000;[Red]#,##0.000"/>
      <alignment horizontal="general" vertical="center" textRotation="0" wrapText="0" indent="0" justifyLastLine="0" shrinkToFit="0" readingOrder="0"/>
      <protection locked="1" hidden="0"/>
    </dxf>
    <dxf>
      <font>
        <strike val="0"/>
        <outline val="0"/>
        <shadow val="0"/>
        <u val="none"/>
        <vertAlign val="baseline"/>
        <sz val="8"/>
        <name val="Arial"/>
        <family val="2"/>
        <scheme val="none"/>
      </font>
      <numFmt numFmtId="0" formatCode="General"/>
      <alignment horizontal="center" vertical="center" textRotation="0" wrapText="0" indent="0" justifyLastLine="0" shrinkToFit="0" readingOrder="0"/>
      <protection locked="1" hidden="0"/>
    </dxf>
    <dxf>
      <font>
        <strike val="0"/>
        <outline val="0"/>
        <shadow val="0"/>
        <u val="none"/>
        <vertAlign val="baseline"/>
        <sz val="8"/>
        <name val="Arial"/>
        <family val="2"/>
        <scheme val="none"/>
      </font>
      <numFmt numFmtId="3" formatCode="#,##0"/>
      <alignment horizontal="general" vertical="center" textRotation="0" wrapText="0" indent="0" justifyLastLine="0" shrinkToFit="0" readingOrder="0"/>
      <protection locked="1" hidden="0"/>
    </dxf>
    <dxf>
      <font>
        <strike val="0"/>
        <outline val="0"/>
        <shadow val="0"/>
        <u val="none"/>
        <vertAlign val="baseline"/>
        <sz val="8"/>
        <name val="Arial"/>
        <family val="2"/>
        <scheme val="none"/>
      </font>
      <alignment horizontal="general" vertical="center" textRotation="0" wrapText="0" indent="0" justifyLastLine="0" shrinkToFit="0" readingOrder="0"/>
      <protection locked="1" hidden="0"/>
    </dxf>
    <dxf>
      <font>
        <strike val="0"/>
        <outline val="0"/>
        <shadow val="0"/>
        <u val="none"/>
        <vertAlign val="baseline"/>
        <sz val="8"/>
        <name val="Arial"/>
        <family val="2"/>
        <scheme val="none"/>
      </font>
      <alignment horizontal="center" vertical="center" textRotation="0" wrapText="0" indent="0" justifyLastLine="0" shrinkToFit="0" readingOrder="0"/>
      <protection locked="1" hidden="0"/>
    </dxf>
    <dxf>
      <font>
        <strike val="0"/>
        <outline val="0"/>
        <shadow val="0"/>
        <u val="none"/>
        <vertAlign val="baseline"/>
        <sz val="8"/>
        <name val="Arial"/>
        <family val="2"/>
        <scheme val="none"/>
      </font>
      <numFmt numFmtId="4" formatCode="#,##0.00"/>
      <alignment horizontal="general" vertical="center" textRotation="0" wrapText="0" indent="0" justifyLastLine="0" shrinkToFit="0" readingOrder="0"/>
      <protection locked="1" hidden="0"/>
    </dxf>
    <dxf>
      <font>
        <strike val="0"/>
        <outline val="0"/>
        <shadow val="0"/>
        <u val="none"/>
        <vertAlign val="baseline"/>
        <sz val="8"/>
        <name val="Arial"/>
        <family val="2"/>
        <scheme val="none"/>
      </font>
      <numFmt numFmtId="4" formatCode="#,##0.00"/>
      <alignment horizontal="general" vertical="center" textRotation="0" wrapText="0" indent="0" justifyLastLine="0" shrinkToFit="0" readingOrder="0"/>
      <protection locked="1" hidden="0"/>
    </dxf>
    <dxf>
      <font>
        <strike val="0"/>
        <outline val="0"/>
        <shadow val="0"/>
        <u val="none"/>
        <vertAlign val="baseline"/>
        <sz val="8"/>
        <name val="Arial"/>
        <family val="2"/>
        <scheme val="none"/>
      </font>
      <numFmt numFmtId="0" formatCode="General"/>
      <alignment horizontal="center" vertical="center" textRotation="0" wrapText="0" indent="0" justifyLastLine="0" shrinkToFit="0" readingOrder="0"/>
      <protection locked="1" hidden="0"/>
    </dxf>
    <dxf>
      <font>
        <strike val="0"/>
        <outline val="0"/>
        <shadow val="0"/>
        <u val="none"/>
        <vertAlign val="baseline"/>
        <sz val="8"/>
        <name val="Arial"/>
        <family val="2"/>
        <scheme val="none"/>
      </font>
      <numFmt numFmtId="3" formatCode="#,##0"/>
      <alignment horizontal="general" vertical="center" textRotation="0" wrapText="0" indent="0" justifyLastLine="0" shrinkToFit="0" readingOrder="0"/>
      <protection locked="1" hidden="0"/>
    </dxf>
    <dxf>
      <font>
        <strike val="0"/>
        <outline val="0"/>
        <shadow val="0"/>
        <u val="none"/>
        <vertAlign val="baseline"/>
        <sz val="8"/>
        <name val="Arial"/>
        <family val="2"/>
        <scheme val="none"/>
      </font>
      <alignment horizontal="general" vertical="center" textRotation="0" wrapText="0" indent="0" justifyLastLine="0" shrinkToFit="0" readingOrder="0"/>
      <protection locked="1" hidden="0"/>
    </dxf>
    <dxf>
      <font>
        <strike val="0"/>
        <outline val="0"/>
        <shadow val="0"/>
        <u val="none"/>
        <vertAlign val="baseline"/>
        <sz val="8"/>
        <name val="Arial"/>
        <family val="2"/>
        <scheme val="none"/>
      </font>
      <alignment horizontal="center" vertical="center" textRotation="0" wrapText="0" indent="0" justifyLastLine="0" shrinkToFit="0" readingOrder="0"/>
      <protection locked="1" hidden="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213360</xdr:colOff>
      <xdr:row>0</xdr:row>
      <xdr:rowOff>22860</xdr:rowOff>
    </xdr:from>
    <xdr:to>
      <xdr:col>0</xdr:col>
      <xdr:colOff>1299210</xdr:colOff>
      <xdr:row>0</xdr:row>
      <xdr:rowOff>404704</xdr:rowOff>
    </xdr:to>
    <xdr:pic>
      <xdr:nvPicPr>
        <xdr:cNvPr id="3" name="Resim 2" descr="C:\Users\Fadime\AppData\Local\Microsoft\Windows\INetCache\Content.Word\New SBG e-mail logo-small-2.jpg">
          <a:extLst>
            <a:ext uri="{FF2B5EF4-FFF2-40B4-BE49-F238E27FC236}">
              <a16:creationId xmlns:a16="http://schemas.microsoft.com/office/drawing/2014/main" id="{5F7825E8-9C17-4FC1-B416-91939B5E13E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360" y="22860"/>
          <a:ext cx="1085850" cy="381844"/>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7F8DA34-2391-4FB2-A5A1-7A9100553E23}" name="Variable_Costs" displayName="Variable_Costs" ref="B31:E38" totalsRowShown="0" headerRowDxfId="29" dataDxfId="28">
  <tableColumns count="4">
    <tableColumn id="1" xr3:uid="{63C10906-3142-4815-AE4D-21016C5D4511}" name="Turnover (Min) (USD)" dataDxfId="27">
      <calculatedColumnFormula>B18</calculatedColumnFormula>
    </tableColumn>
    <tableColumn id="2" xr3:uid="{703EAC13-BDA1-4C5B-8FB7-3AEDDD006754}" name="AAF Class" dataDxfId="26">
      <calculatedColumnFormula>C18</calculatedColumnFormula>
    </tableColumn>
    <tableColumn id="3" xr3:uid="{4AFB298D-3A06-48E9-B0D2-F8D4FFBE0E03}" name="Processor (USD)" dataDxfId="25">
      <calculatedColumnFormula>Inflation!E6</calculatedColumnFormula>
    </tableColumn>
    <tableColumn id="5" xr3:uid="{5F9C2F5C-33FF-4959-8DE6-0A9CCAC6A148}" name="Trader (USD)" dataDxfId="24">
      <calculatedColumnFormula>Inflation!E31</calculatedColumnFormula>
    </tableColumn>
  </tableColumns>
  <tableStyleInfo name="TableStyleMedium1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F35FC9D-DC18-401B-8912-971AC4E07429}" name="Base_Costs" displayName="Base_Costs" ref="B17:E24" totalsRowShown="0" headerRowDxfId="23" dataDxfId="22">
  <tableColumns count="4">
    <tableColumn id="1" xr3:uid="{042EF67A-898B-4AA2-AF18-9F669A9775DB}" name="Turnover (Min) (USD)" dataDxfId="21"/>
    <tableColumn id="2" xr3:uid="{ABE4CB46-3069-4516-8383-BC40E8DD504E}" name="AAF Class" dataDxfId="20"/>
    <tableColumn id="3" xr3:uid="{D8BA611B-BBD0-42DB-8B32-8BA247F43FDA}" name="Processor (USD)" dataDxfId="19">
      <calculatedColumnFormula>Inflation!E24</calculatedColumnFormula>
    </tableColumn>
    <tableColumn id="5" xr3:uid="{5C597165-CEFC-42EA-93E6-9263C270DB88}" name="Trader (USD)" dataDxfId="18">
      <calculatedColumnFormula>Inflation!E38</calculatedColumnFormula>
    </tableColumn>
  </tableColumns>
  <tableStyleInfo name="TableStyleMedium1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4E96C66-0D49-49A1-8714-EF2369420D58}" name="Base_Costs_Group" displayName="Base_Costs_Group" ref="B20:E27" totalsRowShown="0" headerRowDxfId="17" dataDxfId="16">
  <tableColumns count="4">
    <tableColumn id="1" xr3:uid="{0B343EB6-23EE-4AF7-8ADA-890A2D150FDC}" name="Turnover (Min) (USD)" dataDxfId="15">
      <calculatedColumnFormula>'Basic Calculator'!B18</calculatedColumnFormula>
    </tableColumn>
    <tableColumn id="2" xr3:uid="{CA680248-949D-4849-8611-A4E9EFAAE8D2}" name="AAF Class" dataDxfId="14">
      <calculatedColumnFormula>'Basic Calculator'!C18</calculatedColumnFormula>
    </tableColumn>
    <tableColumn id="3" xr3:uid="{229F27D0-8932-4493-A787-80A970F41284}" name="Processor (USD)" dataDxfId="13">
      <calculatedColumnFormula>'Basic Calculator'!D18</calculatedColumnFormula>
    </tableColumn>
    <tableColumn id="5" xr3:uid="{630CF7B4-71E1-4201-B7E2-4E4C73AA4DB9}" name="Trader (USD)" dataDxfId="12">
      <calculatedColumnFormula>'Basic Calculator'!E18</calculatedColumnFormula>
    </tableColumn>
  </tableColumns>
  <tableStyleInfo name="TableStyleMedium1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244C372-31DA-4569-A27D-3A3D2D1CB8E8}" name="Variable_Costs_Group" displayName="Variable_Costs_Group" ref="B35:E42" totalsRowShown="0" headerRowDxfId="11" dataDxfId="10">
  <tableColumns count="4">
    <tableColumn id="1" xr3:uid="{D84FED47-FB64-4E11-B493-AA032AD64CF2}" name="Turnover (Min) (USD)" dataDxfId="9">
      <calculatedColumnFormula>'Basic Calculator'!B32</calculatedColumnFormula>
    </tableColumn>
    <tableColumn id="2" xr3:uid="{32ADCCEF-4240-46B9-B3CC-02E9C17002BA}" name="AAF Class" dataDxfId="8">
      <calculatedColumnFormula>'Basic Calculator'!C32</calculatedColumnFormula>
    </tableColumn>
    <tableColumn id="3" xr3:uid="{CE8481A8-011B-49A6-9D9D-A0B93096DFB6}" name="Processor (USD)" dataDxfId="7">
      <calculatedColumnFormula>'Basic Calculator'!D32</calculatedColumnFormula>
    </tableColumn>
    <tableColumn id="5" xr3:uid="{467AA5A6-0071-4553-98E1-9FBE9B852894}" name="Trader (USD)" dataDxfId="6">
      <calculatedColumnFormula>'Basic Calculator'!E32</calculatedColumnFormula>
    </tableColumn>
  </tableColumns>
  <tableStyleInfo name="TableStyleMedium1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90A80CE-16B7-4AB1-A666-E85AEC6319EF}" name="Inflation_Primary_Parameters" displayName="Inflation_Primary_Parameters" ref="A5:E17" totalsRowShown="0">
  <autoFilter ref="A5:E17" xr:uid="{090A80CE-16B7-4AB1-A666-E85AEC6319EF}"/>
  <tableColumns count="5">
    <tableColumn id="1" xr3:uid="{A6BFC6F2-D50B-4E8D-9C15-EC68F535CCC3}" name="Parameter"/>
    <tableColumn id="2" xr3:uid="{2FC0E4D9-C677-4C9C-8058-FC946DE8BFDA}" name="Applicable To FPT above"/>
    <tableColumn id="3" xr3:uid="{739EAFF0-EE6A-4101-92E3-B0B87D14C324}" name="Current Value"/>
    <tableColumn id="4" xr3:uid="{FECDE0CC-0E31-4F5F-AF6A-8EFE6D9FDDDF}" name="Inflate (Y/N)" dataDxfId="5"/>
    <tableColumn id="5" xr3:uid="{0C0FDCA9-5D71-47AB-8FA0-0DE1FCAE059C}" name="New Value" dataDxfId="4">
      <calculatedColumnFormula>ROUND(Inflation_Primary_Parameters[[#This Row],[Current Value]] * IF(Inflation_Primary_Parameters[[#This Row],[Inflate (Y/N)]] = "Y", 1+ Inflation_Rate, 1), 2)</calculatedColumnFormula>
    </tableColumn>
  </tableColumns>
  <tableStyleInfo name="TableStyleMedium20"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9514045-F429-4D37-BD98-ABE35268599F}" name="Inflation_Derived_Parameters" displayName="Inflation_Derived_Parameters" ref="A23:E58" totalsRowShown="0">
  <autoFilter ref="A23:E58" xr:uid="{49514045-F429-4D37-BD98-ABE35268599F}"/>
  <tableColumns count="5">
    <tableColumn id="1" xr3:uid="{9DC457B1-A5E6-4644-BAA5-B367A3745148}" name="Parameter"/>
    <tableColumn id="2" xr3:uid="{90B24CC3-FEDE-468D-9D49-B8006FA4C4F2}" name="Applicable To FPT above"/>
    <tableColumn id="3" xr3:uid="{F48C7DCA-3C12-485A-924B-527CD5AB7610}" name="Current Value" dataDxfId="3"/>
    <tableColumn id="4" xr3:uid="{5AB03C98-C276-4535-9201-4B4ECD1A1A1B}" name="Inflated" dataDxfId="2">
      <calculatedColumnFormula>IF(Inflation_Derived_Parameters[[#This Row],[New Value]] &gt; Inflation_Derived_Parameters[[#This Row],[Current Value]], "Y", "N")</calculatedColumnFormula>
    </tableColumn>
    <tableColumn id="5" xr3:uid="{7BE3C004-4FE3-4547-8566-D2C5E46FEA25}" name="New Value" dataDxfId="1"/>
  </tableColumns>
  <tableStyleInfo name="TableStyleMedium20" showFirstColumn="0" showLastColumn="0" showRowStripes="1" showColumnStripes="0"/>
</table>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1.oanda.com/currency/converter/" TargetMode="External"/><Relationship Id="rId1" Type="http://schemas.openxmlformats.org/officeDocument/2006/relationships/hyperlink" Target="https://www1.oanda.com/currency/converter/" TargetMode="Externa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17478-43C0-45DD-92D9-1564A09651F6}">
  <sheetPr>
    <tabColor rgb="FFFF0000"/>
  </sheetPr>
  <dimension ref="B2:B8"/>
  <sheetViews>
    <sheetView workbookViewId="0">
      <selection activeCell="B6" sqref="B6"/>
    </sheetView>
  </sheetViews>
  <sheetFormatPr defaultRowHeight="13.2" x14ac:dyDescent="0.25"/>
  <cols>
    <col min="2" max="2" width="81.6640625" customWidth="1"/>
  </cols>
  <sheetData>
    <row r="2" spans="2:2" ht="15.6" x14ac:dyDescent="0.25">
      <c r="B2" s="46" t="s">
        <v>0</v>
      </c>
    </row>
    <row r="3" spans="2:2" ht="16.8" x14ac:dyDescent="0.25">
      <c r="B3" s="47"/>
    </row>
    <row r="4" spans="2:2" ht="45" x14ac:dyDescent="0.25">
      <c r="B4" s="80" t="s">
        <v>1</v>
      </c>
    </row>
    <row r="5" spans="2:2" ht="16.8" x14ac:dyDescent="0.25">
      <c r="B5" s="81"/>
    </row>
    <row r="6" spans="2:2" ht="105" x14ac:dyDescent="0.25">
      <c r="B6" s="80" t="s">
        <v>2</v>
      </c>
    </row>
    <row r="7" spans="2:2" ht="16.8" x14ac:dyDescent="0.25">
      <c r="B7" s="81"/>
    </row>
    <row r="8" spans="2:2" ht="45" x14ac:dyDescent="0.25">
      <c r="B8" s="80" t="s">
        <v>3</v>
      </c>
    </row>
  </sheetData>
  <sheetProtection algorithmName="SHA-512" hashValue="vdnSX4dl1i58ku9Hzos9vhI8TvfDX8RhzQxUzccmC1Jwy86Hu+qCo0GeE3sVLz8HBSXhgQegkrV+E/zx3kirqA==" saltValue="aXYOJO5gm9YYu6m7/IKuoQ==" spinCount="100000" sheet="1" objects="1" scenarios="1"/>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A6716-577D-4953-886E-27BC7B4DE732}">
  <sheetPr>
    <tabColor rgb="FFFFC000"/>
  </sheetPr>
  <dimension ref="A1:O57"/>
  <sheetViews>
    <sheetView workbookViewId="0">
      <selection activeCell="C59" sqref="C59"/>
    </sheetView>
  </sheetViews>
  <sheetFormatPr defaultRowHeight="13.2" x14ac:dyDescent="0.25"/>
  <cols>
    <col min="1" max="1" width="17.44140625" bestFit="1" customWidth="1"/>
    <col min="2" max="2" width="9" style="69"/>
  </cols>
  <sheetData>
    <row r="1" spans="1:15" x14ac:dyDescent="0.25">
      <c r="A1" s="48" t="s">
        <v>4</v>
      </c>
      <c r="B1" s="64"/>
      <c r="C1" s="2"/>
      <c r="D1" s="2"/>
      <c r="E1" s="2"/>
      <c r="F1" s="2"/>
      <c r="G1" s="2"/>
      <c r="H1" s="2"/>
      <c r="I1" s="2"/>
      <c r="J1" s="2"/>
      <c r="K1" s="2"/>
      <c r="L1" s="2"/>
      <c r="M1" s="2"/>
      <c r="N1" s="2"/>
      <c r="O1" s="2"/>
    </row>
    <row r="2" spans="1:15" x14ac:dyDescent="0.25">
      <c r="A2" s="2"/>
      <c r="B2" s="64"/>
      <c r="C2" s="2"/>
      <c r="D2" s="2"/>
      <c r="E2" s="2"/>
      <c r="F2" s="2"/>
      <c r="G2" s="2"/>
      <c r="H2" s="2"/>
      <c r="I2" s="2"/>
      <c r="J2" s="2"/>
      <c r="K2" s="2"/>
      <c r="L2" s="2"/>
      <c r="M2" s="2"/>
      <c r="N2" s="2"/>
      <c r="O2" s="2"/>
    </row>
    <row r="3" spans="1:15" x14ac:dyDescent="0.25">
      <c r="A3" s="48" t="s">
        <v>5</v>
      </c>
      <c r="B3" s="64"/>
      <c r="C3" s="2"/>
      <c r="D3" s="2"/>
      <c r="E3" s="2"/>
      <c r="F3" s="2"/>
      <c r="G3" s="2"/>
      <c r="H3" s="2"/>
      <c r="I3" s="2"/>
      <c r="J3" s="2"/>
      <c r="K3" s="2"/>
      <c r="L3" s="2"/>
      <c r="M3" s="2"/>
      <c r="N3" s="2"/>
      <c r="O3" s="2"/>
    </row>
    <row r="4" spans="1:15" x14ac:dyDescent="0.25">
      <c r="A4" s="48"/>
      <c r="B4" s="64"/>
      <c r="C4" s="2"/>
      <c r="D4" s="2"/>
      <c r="E4" s="2"/>
      <c r="F4" s="2"/>
      <c r="G4" s="2"/>
      <c r="H4" s="2"/>
      <c r="I4" s="2"/>
      <c r="J4" s="2"/>
      <c r="K4" s="2"/>
      <c r="L4" s="2"/>
      <c r="M4" s="2"/>
      <c r="N4" s="2"/>
      <c r="O4" s="2"/>
    </row>
    <row r="5" spans="1:15" ht="13.2" customHeight="1" x14ac:dyDescent="0.25">
      <c r="A5" s="49" t="s">
        <v>6</v>
      </c>
      <c r="B5" s="68" t="s">
        <v>7</v>
      </c>
      <c r="C5" s="68"/>
      <c r="D5" s="68"/>
      <c r="E5" s="68"/>
      <c r="F5" s="68"/>
      <c r="G5" s="68"/>
      <c r="H5" s="68"/>
      <c r="I5" s="68"/>
      <c r="J5" s="68"/>
      <c r="K5" s="68"/>
      <c r="L5" s="68"/>
      <c r="M5" s="68"/>
      <c r="N5" s="68"/>
      <c r="O5" s="68"/>
    </row>
    <row r="6" spans="1:15" x14ac:dyDescent="0.25">
      <c r="A6" s="2"/>
      <c r="B6" s="65"/>
      <c r="C6" s="50"/>
      <c r="D6" s="50"/>
      <c r="E6" s="50"/>
      <c r="F6" s="50"/>
      <c r="G6" s="50"/>
      <c r="H6" s="50"/>
      <c r="I6" s="50"/>
      <c r="J6" s="50"/>
      <c r="K6" s="50"/>
      <c r="L6" s="50"/>
      <c r="M6" s="2"/>
      <c r="N6" s="2"/>
      <c r="O6" s="2"/>
    </row>
    <row r="7" spans="1:15" x14ac:dyDescent="0.25">
      <c r="A7" s="49" t="s">
        <v>8</v>
      </c>
      <c r="B7" s="66"/>
      <c r="C7" s="52"/>
      <c r="D7" s="52"/>
      <c r="E7" s="52"/>
      <c r="F7" s="52"/>
      <c r="G7" s="52"/>
      <c r="H7" s="52"/>
      <c r="I7" s="52"/>
      <c r="J7" s="52"/>
      <c r="K7" s="52"/>
      <c r="L7" s="52"/>
      <c r="M7" s="2"/>
      <c r="N7" s="2"/>
      <c r="O7" s="2"/>
    </row>
    <row r="8" spans="1:15" x14ac:dyDescent="0.25">
      <c r="A8" s="49"/>
      <c r="B8" s="66"/>
      <c r="C8" s="52"/>
      <c r="D8" s="52"/>
      <c r="E8" s="52"/>
      <c r="F8" s="52"/>
      <c r="G8" s="52"/>
      <c r="H8" s="52"/>
      <c r="I8" s="52"/>
      <c r="J8" s="52"/>
      <c r="K8" s="52"/>
      <c r="L8" s="52"/>
      <c r="M8" s="2"/>
      <c r="N8" s="2"/>
      <c r="O8" s="2"/>
    </row>
    <row r="9" spans="1:15" x14ac:dyDescent="0.25">
      <c r="A9" s="51" t="s">
        <v>9</v>
      </c>
      <c r="B9" s="68" t="s">
        <v>10</v>
      </c>
      <c r="C9" s="52"/>
      <c r="D9" s="52"/>
      <c r="E9" s="52"/>
      <c r="F9" s="52"/>
      <c r="G9" s="52"/>
      <c r="H9" s="52"/>
      <c r="I9" s="52"/>
      <c r="J9" s="52"/>
      <c r="K9" s="52"/>
      <c r="L9" s="52"/>
      <c r="M9" s="2"/>
      <c r="N9" s="2"/>
      <c r="O9" s="2"/>
    </row>
    <row r="10" spans="1:15" x14ac:dyDescent="0.25">
      <c r="A10" s="2"/>
      <c r="B10" s="68" t="s">
        <v>11</v>
      </c>
      <c r="C10" s="39"/>
      <c r="D10" s="39"/>
      <c r="E10" s="39"/>
      <c r="F10" s="39"/>
      <c r="G10" s="39"/>
      <c r="H10" s="39"/>
      <c r="I10" s="39"/>
      <c r="J10" s="39"/>
      <c r="K10" s="39"/>
      <c r="L10" s="39"/>
      <c r="M10" s="2"/>
      <c r="N10" s="2"/>
      <c r="O10" s="2"/>
    </row>
    <row r="11" spans="1:15" x14ac:dyDescent="0.25">
      <c r="A11" s="2"/>
      <c r="B11" s="68" t="s">
        <v>12</v>
      </c>
      <c r="C11" s="39"/>
      <c r="D11" s="39"/>
      <c r="E11" s="39"/>
      <c r="F11" s="39"/>
      <c r="G11" s="39"/>
      <c r="H11" s="39"/>
      <c r="I11" s="39"/>
      <c r="J11" s="39"/>
      <c r="K11" s="39"/>
      <c r="L11" s="39"/>
      <c r="M11" s="2"/>
      <c r="N11" s="2"/>
      <c r="O11" s="2"/>
    </row>
    <row r="12" spans="1:15" x14ac:dyDescent="0.25">
      <c r="A12" s="2"/>
      <c r="B12" s="68" t="s">
        <v>13</v>
      </c>
      <c r="C12" s="39"/>
      <c r="D12" s="39"/>
      <c r="E12" s="39"/>
      <c r="F12" s="39"/>
      <c r="G12" s="39"/>
      <c r="H12" s="39"/>
      <c r="I12" s="39"/>
      <c r="J12" s="39"/>
      <c r="K12" s="39"/>
      <c r="L12" s="39"/>
      <c r="M12" s="2"/>
      <c r="N12" s="2"/>
      <c r="O12" s="2"/>
    </row>
    <row r="13" spans="1:15" x14ac:dyDescent="0.25">
      <c r="A13" s="2"/>
      <c r="B13" s="70" t="s">
        <v>14</v>
      </c>
      <c r="C13" s="39"/>
      <c r="D13" s="39"/>
      <c r="E13" s="39"/>
      <c r="F13" s="39"/>
      <c r="G13" s="39"/>
      <c r="H13" s="39"/>
      <c r="I13" s="39"/>
      <c r="J13" s="39"/>
      <c r="K13" s="39"/>
      <c r="L13" s="39"/>
      <c r="M13" s="2"/>
      <c r="N13" s="2"/>
      <c r="O13" s="2"/>
    </row>
    <row r="14" spans="1:15" x14ac:dyDescent="0.25">
      <c r="A14" s="2"/>
      <c r="B14" s="82" t="s">
        <v>15</v>
      </c>
      <c r="C14" s="39"/>
      <c r="D14" s="39"/>
      <c r="E14" s="39"/>
      <c r="F14" s="39"/>
      <c r="G14" s="39"/>
      <c r="H14" s="39"/>
      <c r="I14" s="39"/>
      <c r="J14" s="39"/>
      <c r="K14" s="39"/>
      <c r="L14" s="39"/>
      <c r="M14" s="2"/>
      <c r="N14" s="2"/>
      <c r="O14" s="2"/>
    </row>
    <row r="15" spans="1:15" x14ac:dyDescent="0.25">
      <c r="A15" s="2"/>
      <c r="B15" s="67"/>
      <c r="C15" s="39"/>
      <c r="D15" s="39"/>
      <c r="E15" s="39"/>
      <c r="F15" s="39"/>
      <c r="G15" s="39"/>
      <c r="H15" s="39"/>
      <c r="I15" s="39"/>
      <c r="J15" s="39"/>
      <c r="K15" s="39"/>
      <c r="L15" s="39"/>
      <c r="M15" s="2"/>
      <c r="N15" s="2"/>
      <c r="O15" s="2"/>
    </row>
    <row r="16" spans="1:15" x14ac:dyDescent="0.25">
      <c r="A16" s="53" t="s">
        <v>16</v>
      </c>
      <c r="B16" s="64" t="s">
        <v>17</v>
      </c>
      <c r="C16" s="39"/>
      <c r="D16" s="39"/>
      <c r="E16" s="39"/>
      <c r="F16" s="39"/>
      <c r="G16" s="39"/>
      <c r="H16" s="39"/>
      <c r="I16" s="39"/>
      <c r="J16" s="39"/>
      <c r="K16" s="39"/>
      <c r="L16" s="39"/>
      <c r="M16" s="2"/>
      <c r="N16" s="2"/>
      <c r="O16" s="2"/>
    </row>
    <row r="17" spans="1:15" x14ac:dyDescent="0.25">
      <c r="A17" s="53"/>
      <c r="B17" s="64" t="s">
        <v>18</v>
      </c>
      <c r="C17" s="39"/>
      <c r="D17" s="39"/>
      <c r="E17" s="39"/>
      <c r="F17" s="39"/>
      <c r="G17" s="39"/>
      <c r="H17" s="39"/>
      <c r="I17" s="39"/>
      <c r="J17" s="39"/>
      <c r="K17" s="39"/>
      <c r="L17" s="39"/>
      <c r="M17" s="2"/>
      <c r="N17" s="2"/>
      <c r="O17" s="2"/>
    </row>
    <row r="18" spans="1:15" x14ac:dyDescent="0.25">
      <c r="A18" s="2"/>
      <c r="B18" s="68" t="s">
        <v>19</v>
      </c>
      <c r="C18" s="2"/>
      <c r="D18" s="2"/>
      <c r="E18" s="2"/>
      <c r="F18" s="2"/>
      <c r="G18" s="2"/>
      <c r="H18" s="2"/>
      <c r="I18" s="2"/>
      <c r="J18" s="2"/>
      <c r="K18" s="2"/>
      <c r="L18" s="2"/>
      <c r="M18" s="2"/>
      <c r="N18" s="2"/>
      <c r="O18" s="2"/>
    </row>
    <row r="19" spans="1:15" x14ac:dyDescent="0.25">
      <c r="C19" s="39"/>
      <c r="D19" s="39"/>
      <c r="E19" s="39"/>
      <c r="F19" s="39"/>
      <c r="G19" s="39"/>
      <c r="H19" s="39"/>
      <c r="I19" s="39"/>
      <c r="J19" s="39"/>
      <c r="K19" s="39"/>
      <c r="L19" s="39"/>
      <c r="M19" s="2"/>
      <c r="N19" s="2"/>
      <c r="O19" s="2"/>
    </row>
    <row r="20" spans="1:15" x14ac:dyDescent="0.25">
      <c r="A20" s="49" t="s">
        <v>20</v>
      </c>
      <c r="B20" s="66"/>
    </row>
    <row r="21" spans="1:15" x14ac:dyDescent="0.25">
      <c r="A21" s="49"/>
      <c r="B21" s="66"/>
      <c r="C21" s="52"/>
      <c r="D21" s="52"/>
      <c r="E21" s="52"/>
      <c r="F21" s="52"/>
      <c r="G21" s="52"/>
      <c r="H21" s="52"/>
      <c r="I21" s="52"/>
      <c r="J21" s="52"/>
      <c r="K21" s="52"/>
      <c r="L21" s="52"/>
      <c r="M21" s="2"/>
      <c r="N21" s="2"/>
      <c r="O21" s="2"/>
    </row>
    <row r="22" spans="1:15" x14ac:dyDescent="0.25">
      <c r="A22" s="51" t="s">
        <v>9</v>
      </c>
      <c r="B22" s="68" t="s">
        <v>10</v>
      </c>
      <c r="C22" s="52"/>
      <c r="D22" s="52"/>
      <c r="E22" s="52"/>
      <c r="F22" s="52"/>
      <c r="G22" s="52"/>
      <c r="H22" s="52"/>
      <c r="I22" s="52"/>
      <c r="J22" s="52"/>
      <c r="K22" s="52"/>
      <c r="L22" s="52"/>
      <c r="M22" s="2"/>
      <c r="N22" s="2"/>
      <c r="O22" s="2"/>
    </row>
    <row r="23" spans="1:15" x14ac:dyDescent="0.25">
      <c r="A23" s="2"/>
      <c r="B23" s="68" t="s">
        <v>21</v>
      </c>
      <c r="C23" s="52"/>
      <c r="D23" s="52"/>
      <c r="E23" s="52"/>
      <c r="F23" s="52"/>
      <c r="G23" s="52"/>
      <c r="H23" s="52"/>
      <c r="I23" s="52"/>
      <c r="J23" s="52"/>
      <c r="K23" s="52"/>
      <c r="L23" s="52"/>
      <c r="M23" s="2"/>
      <c r="N23" s="2"/>
      <c r="O23" s="2"/>
    </row>
    <row r="24" spans="1:15" x14ac:dyDescent="0.25">
      <c r="A24" s="2"/>
      <c r="B24" s="68" t="s">
        <v>22</v>
      </c>
      <c r="C24" s="39"/>
      <c r="D24" s="39"/>
      <c r="E24" s="39"/>
      <c r="F24" s="39"/>
      <c r="G24" s="39"/>
      <c r="H24" s="39"/>
      <c r="I24" s="39"/>
      <c r="J24" s="39"/>
      <c r="K24" s="39"/>
      <c r="L24" s="39"/>
      <c r="M24" s="2"/>
      <c r="N24" s="2"/>
      <c r="O24" s="2"/>
    </row>
    <row r="25" spans="1:15" x14ac:dyDescent="0.25">
      <c r="A25" s="2"/>
      <c r="B25" s="70" t="s">
        <v>14</v>
      </c>
      <c r="C25" s="39"/>
      <c r="D25" s="39"/>
      <c r="E25" s="39"/>
      <c r="F25" s="39"/>
      <c r="G25" s="39"/>
      <c r="H25" s="39"/>
      <c r="I25" s="39"/>
      <c r="J25" s="39"/>
      <c r="K25" s="39"/>
      <c r="L25" s="39"/>
      <c r="M25" s="2"/>
      <c r="N25" s="2"/>
      <c r="O25" s="2"/>
    </row>
    <row r="26" spans="1:15" x14ac:dyDescent="0.25">
      <c r="A26" s="2"/>
      <c r="B26" s="67"/>
      <c r="C26" s="39"/>
      <c r="D26" s="39"/>
      <c r="E26" s="39"/>
      <c r="F26" s="39"/>
      <c r="G26" s="39"/>
      <c r="H26" s="39"/>
      <c r="I26" s="39"/>
      <c r="J26" s="39"/>
      <c r="K26" s="39"/>
      <c r="L26" s="39"/>
      <c r="M26" s="2"/>
      <c r="N26" s="2"/>
      <c r="O26" s="2"/>
    </row>
    <row r="27" spans="1:15" x14ac:dyDescent="0.25">
      <c r="A27" s="53" t="s">
        <v>16</v>
      </c>
      <c r="B27" s="64" t="s">
        <v>23</v>
      </c>
      <c r="C27" s="39"/>
      <c r="D27" s="39"/>
      <c r="E27" s="39"/>
      <c r="F27" s="39"/>
      <c r="G27" s="39"/>
      <c r="H27" s="39"/>
      <c r="I27" s="39"/>
      <c r="J27" s="39"/>
      <c r="K27" s="39"/>
      <c r="L27" s="39"/>
      <c r="M27" s="2"/>
      <c r="N27" s="2"/>
      <c r="O27" s="2"/>
    </row>
    <row r="28" spans="1:15" x14ac:dyDescent="0.25">
      <c r="A28" s="2"/>
      <c r="B28" s="64" t="s">
        <v>24</v>
      </c>
      <c r="C28" s="39"/>
      <c r="D28" s="39"/>
      <c r="E28" s="39"/>
      <c r="F28" s="39"/>
      <c r="G28" s="39"/>
      <c r="H28" s="39"/>
      <c r="I28" s="39"/>
      <c r="J28" s="39"/>
      <c r="K28" s="39"/>
      <c r="L28" s="39"/>
      <c r="M28" s="2"/>
      <c r="N28" s="2"/>
      <c r="O28" s="2"/>
    </row>
    <row r="29" spans="1:15" x14ac:dyDescent="0.25">
      <c r="A29" s="2"/>
      <c r="B29" s="68" t="s">
        <v>19</v>
      </c>
      <c r="C29" s="2"/>
      <c r="D29" s="2"/>
      <c r="E29" s="2"/>
      <c r="F29" s="2"/>
      <c r="G29" s="2"/>
      <c r="H29" s="2"/>
      <c r="I29" s="2"/>
      <c r="J29" s="2"/>
      <c r="K29" s="2"/>
      <c r="L29" s="2"/>
      <c r="M29" s="2"/>
      <c r="N29" s="2"/>
      <c r="O29" s="2"/>
    </row>
    <row r="30" spans="1:15" x14ac:dyDescent="0.25">
      <c r="C30" s="39"/>
      <c r="D30" s="39"/>
      <c r="E30" s="39"/>
      <c r="F30" s="39"/>
      <c r="G30" s="39"/>
      <c r="H30" s="39"/>
      <c r="I30" s="39"/>
      <c r="J30" s="39"/>
      <c r="K30" s="39"/>
      <c r="L30" s="39"/>
      <c r="M30" s="2"/>
      <c r="N30" s="2"/>
      <c r="O30" s="2"/>
    </row>
    <row r="31" spans="1:15" x14ac:dyDescent="0.25">
      <c r="A31" s="49" t="s">
        <v>25</v>
      </c>
      <c r="B31" s="66"/>
    </row>
    <row r="32" spans="1:15" x14ac:dyDescent="0.25">
      <c r="A32" s="49"/>
      <c r="B32" s="66"/>
      <c r="C32" s="52"/>
      <c r="D32" s="52"/>
      <c r="E32" s="52"/>
      <c r="F32" s="52"/>
      <c r="G32" s="52"/>
      <c r="H32" s="52"/>
      <c r="I32" s="52"/>
      <c r="J32" s="52"/>
      <c r="K32" s="52"/>
      <c r="L32" s="52"/>
      <c r="M32" s="2"/>
      <c r="N32" s="2"/>
      <c r="O32" s="2"/>
    </row>
    <row r="33" spans="1:15" x14ac:dyDescent="0.25">
      <c r="A33" s="51" t="s">
        <v>9</v>
      </c>
      <c r="B33" s="68" t="s">
        <v>10</v>
      </c>
      <c r="C33" s="52"/>
      <c r="D33" s="52"/>
      <c r="E33" s="52"/>
      <c r="F33" s="52"/>
      <c r="G33" s="52"/>
      <c r="H33" s="52"/>
      <c r="I33" s="52"/>
      <c r="J33" s="52"/>
      <c r="K33" s="52"/>
      <c r="L33" s="52"/>
      <c r="M33" s="2"/>
      <c r="N33" s="2"/>
      <c r="O33" s="2"/>
    </row>
    <row r="34" spans="1:15" x14ac:dyDescent="0.25">
      <c r="A34" s="2"/>
      <c r="B34" s="68" t="s">
        <v>26</v>
      </c>
      <c r="C34" s="52"/>
      <c r="D34" s="52"/>
      <c r="E34" s="52"/>
      <c r="F34" s="52"/>
      <c r="G34" s="52"/>
      <c r="H34" s="52"/>
      <c r="I34" s="52"/>
      <c r="J34" s="52"/>
      <c r="K34" s="52"/>
      <c r="L34" s="52"/>
      <c r="M34" s="2"/>
      <c r="N34" s="2"/>
      <c r="O34" s="2"/>
    </row>
    <row r="35" spans="1:15" x14ac:dyDescent="0.25">
      <c r="A35" s="2"/>
      <c r="B35" s="68" t="s">
        <v>27</v>
      </c>
    </row>
    <row r="36" spans="1:15" x14ac:dyDescent="0.25">
      <c r="A36" s="2"/>
      <c r="B36" s="68" t="s">
        <v>28</v>
      </c>
    </row>
    <row r="37" spans="1:15" x14ac:dyDescent="0.25">
      <c r="A37" s="2"/>
      <c r="B37" s="68" t="s">
        <v>29</v>
      </c>
    </row>
    <row r="38" spans="1:15" x14ac:dyDescent="0.25">
      <c r="A38" s="2"/>
      <c r="B38" s="68" t="s">
        <v>30</v>
      </c>
    </row>
    <row r="39" spans="1:15" x14ac:dyDescent="0.25">
      <c r="A39" s="2"/>
      <c r="B39" s="70" t="s">
        <v>14</v>
      </c>
    </row>
    <row r="40" spans="1:15" x14ac:dyDescent="0.25">
      <c r="A40" s="2"/>
      <c r="B40" s="67"/>
      <c r="C40" s="39"/>
      <c r="D40" s="39"/>
      <c r="E40" s="39"/>
      <c r="F40" s="39"/>
      <c r="G40" s="39"/>
      <c r="H40" s="39"/>
      <c r="I40" s="39"/>
      <c r="J40" s="39"/>
      <c r="K40" s="39"/>
      <c r="L40" s="39"/>
      <c r="M40" s="2"/>
      <c r="N40" s="2"/>
      <c r="O40" s="2"/>
    </row>
    <row r="41" spans="1:15" x14ac:dyDescent="0.25">
      <c r="A41" s="53" t="s">
        <v>16</v>
      </c>
      <c r="B41" s="64" t="s">
        <v>31</v>
      </c>
      <c r="C41" s="39"/>
      <c r="D41" s="39"/>
      <c r="E41" s="39"/>
      <c r="F41" s="39"/>
      <c r="G41" s="39"/>
      <c r="H41" s="39"/>
      <c r="I41" s="39"/>
      <c r="J41" s="39"/>
      <c r="K41" s="39"/>
      <c r="L41" s="39"/>
      <c r="M41" s="2"/>
      <c r="N41" s="2"/>
      <c r="O41" s="2"/>
    </row>
    <row r="42" spans="1:15" x14ac:dyDescent="0.25">
      <c r="A42" s="2"/>
      <c r="B42" s="64" t="s">
        <v>32</v>
      </c>
      <c r="C42" s="39"/>
      <c r="D42" s="39"/>
      <c r="E42" s="39"/>
      <c r="F42" s="39"/>
      <c r="G42" s="39"/>
      <c r="H42" s="39"/>
      <c r="I42" s="39"/>
      <c r="J42" s="39"/>
      <c r="K42" s="39"/>
      <c r="L42" s="39"/>
      <c r="M42" s="2"/>
      <c r="N42" s="2"/>
      <c r="O42" s="2"/>
    </row>
    <row r="43" spans="1:15" x14ac:dyDescent="0.25">
      <c r="A43" s="2"/>
      <c r="B43" s="68" t="s">
        <v>33</v>
      </c>
      <c r="C43" s="2"/>
      <c r="D43" s="2"/>
      <c r="E43" s="2"/>
      <c r="F43" s="2"/>
      <c r="G43" s="2"/>
      <c r="H43" s="2"/>
      <c r="I43" s="2"/>
      <c r="J43" s="2"/>
      <c r="K43" s="2"/>
      <c r="L43" s="2"/>
      <c r="M43" s="2"/>
      <c r="N43" s="2"/>
      <c r="O43" s="2"/>
    </row>
    <row r="44" spans="1:15" x14ac:dyDescent="0.25">
      <c r="C44" s="39"/>
      <c r="D44" s="39"/>
      <c r="E44" s="39"/>
      <c r="F44" s="39"/>
      <c r="G44" s="39"/>
      <c r="H44" s="39"/>
      <c r="I44" s="39"/>
      <c r="J44" s="39"/>
      <c r="K44" s="39"/>
      <c r="L44" s="39"/>
      <c r="M44" s="2"/>
      <c r="N44" s="2"/>
      <c r="O44" s="2"/>
    </row>
    <row r="45" spans="1:15" x14ac:dyDescent="0.25">
      <c r="A45" s="49" t="s">
        <v>34</v>
      </c>
      <c r="B45" s="66"/>
    </row>
    <row r="46" spans="1:15" x14ac:dyDescent="0.25">
      <c r="A46" s="49"/>
      <c r="B46" s="66"/>
    </row>
    <row r="47" spans="1:15" x14ac:dyDescent="0.25">
      <c r="A47" s="51" t="s">
        <v>9</v>
      </c>
      <c r="B47" s="68" t="s">
        <v>10</v>
      </c>
    </row>
    <row r="48" spans="1:15" x14ac:dyDescent="0.25">
      <c r="A48" s="2"/>
      <c r="B48" s="68" t="s">
        <v>35</v>
      </c>
    </row>
    <row r="49" spans="1:15" x14ac:dyDescent="0.25">
      <c r="A49" s="2"/>
      <c r="B49" s="68" t="s">
        <v>36</v>
      </c>
    </row>
    <row r="50" spans="1:15" x14ac:dyDescent="0.25">
      <c r="A50" s="2"/>
      <c r="B50" s="68" t="s">
        <v>28</v>
      </c>
    </row>
    <row r="51" spans="1:15" x14ac:dyDescent="0.25">
      <c r="A51" s="2"/>
      <c r="B51" s="68" t="s">
        <v>29</v>
      </c>
    </row>
    <row r="52" spans="1:15" x14ac:dyDescent="0.25">
      <c r="A52" s="2"/>
      <c r="B52" s="68" t="s">
        <v>37</v>
      </c>
    </row>
    <row r="53" spans="1:15" x14ac:dyDescent="0.25">
      <c r="A53" s="2"/>
      <c r="B53" s="70" t="s">
        <v>14</v>
      </c>
    </row>
    <row r="54" spans="1:15" x14ac:dyDescent="0.25">
      <c r="A54" s="2"/>
      <c r="B54" s="67"/>
    </row>
    <row r="55" spans="1:15" x14ac:dyDescent="0.25">
      <c r="A55" s="53" t="s">
        <v>16</v>
      </c>
      <c r="B55" s="64" t="s">
        <v>38</v>
      </c>
    </row>
    <row r="56" spans="1:15" x14ac:dyDescent="0.25">
      <c r="A56" s="2"/>
      <c r="B56" s="64" t="s">
        <v>39</v>
      </c>
    </row>
    <row r="57" spans="1:15" x14ac:dyDescent="0.25">
      <c r="A57" s="2"/>
      <c r="B57" s="68" t="s">
        <v>40</v>
      </c>
      <c r="C57" s="2"/>
      <c r="D57" s="2"/>
      <c r="E57" s="2"/>
      <c r="F57" s="2"/>
      <c r="G57" s="2"/>
      <c r="H57" s="2"/>
      <c r="I57" s="2"/>
      <c r="J57" s="2"/>
      <c r="K57" s="2"/>
      <c r="L57" s="2"/>
      <c r="M57" s="2"/>
      <c r="N57" s="2"/>
      <c r="O57" s="2"/>
    </row>
  </sheetData>
  <sheetProtection algorithmName="SHA-512" hashValue="ONN99TNxdA3PS4ZiqZtdL17X1sioZntSiHF1vRJZwEvxxnrYh/2jEv5efWGLiEA0XxfyIy2ZFM2VyIL8vUF4rw==" saltValue="Z+lAKmxNNcPETqOlgo5+Xw==" spinCount="100000" sheet="1" objects="1" scenarios="1"/>
  <pageMargins left="0.7" right="0.7" top="0.75" bottom="0.75" header="0.3" footer="0.3"/>
  <pageSetup paperSize="9"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7E892-B584-45AD-91ED-91682CB02D8D}">
  <dimension ref="A1:H28"/>
  <sheetViews>
    <sheetView tabSelected="1" topLeftCell="A4" zoomScaleNormal="100" workbookViewId="0">
      <selection activeCell="A29" sqref="A29"/>
    </sheetView>
  </sheetViews>
  <sheetFormatPr defaultRowHeight="13.2" x14ac:dyDescent="0.25"/>
  <cols>
    <col min="1" max="1" width="26.44140625" customWidth="1"/>
    <col min="2" max="2" width="19.6640625" customWidth="1"/>
    <col min="3" max="3" width="7.6640625" customWidth="1"/>
    <col min="4" max="4" width="18.6640625" customWidth="1"/>
    <col min="5" max="5" width="11.6640625" customWidth="1"/>
    <col min="6" max="6" width="26" customWidth="1"/>
    <col min="7" max="7" width="19.44140625" customWidth="1"/>
    <col min="8" max="8" width="7.33203125" customWidth="1"/>
  </cols>
  <sheetData>
    <row r="1" spans="1:8" ht="33" customHeight="1" x14ac:dyDescent="0.25">
      <c r="A1" s="122" t="s">
        <v>159</v>
      </c>
      <c r="B1" s="123"/>
      <c r="C1" s="123"/>
      <c r="D1" s="123"/>
      <c r="E1" s="123"/>
      <c r="F1" s="123"/>
      <c r="G1" s="123"/>
      <c r="H1" s="124"/>
    </row>
    <row r="2" spans="1:8" ht="229.95" customHeight="1" x14ac:dyDescent="0.25">
      <c r="A2" s="125" t="s">
        <v>180</v>
      </c>
      <c r="B2" s="126"/>
      <c r="C2" s="126"/>
      <c r="D2" s="126"/>
      <c r="E2" s="126"/>
      <c r="F2" s="126"/>
      <c r="G2" s="126"/>
      <c r="H2" s="127"/>
    </row>
    <row r="3" spans="1:8" ht="186.6" customHeight="1" x14ac:dyDescent="0.25">
      <c r="A3" s="166" t="s">
        <v>179</v>
      </c>
      <c r="B3" s="166"/>
      <c r="C3" s="166"/>
      <c r="D3" s="166"/>
      <c r="E3" s="166"/>
      <c r="F3" s="166"/>
      <c r="G3" s="166"/>
      <c r="H3" s="166"/>
    </row>
    <row r="4" spans="1:8" ht="13.8" customHeight="1" x14ac:dyDescent="0.25">
      <c r="A4" s="128"/>
      <c r="B4" s="129"/>
      <c r="C4" s="129"/>
      <c r="D4" s="129"/>
      <c r="E4" s="129"/>
      <c r="F4" s="129"/>
      <c r="G4" s="129"/>
      <c r="H4" s="130"/>
    </row>
    <row r="5" spans="1:8" ht="18" x14ac:dyDescent="0.25">
      <c r="A5" s="131" t="s">
        <v>160</v>
      </c>
      <c r="B5" s="123"/>
      <c r="C5" s="123"/>
      <c r="D5" s="123"/>
      <c r="E5" s="123"/>
      <c r="F5" s="123"/>
      <c r="G5" s="123"/>
      <c r="H5" s="124"/>
    </row>
    <row r="6" spans="1:8" ht="21" x14ac:dyDescent="0.4">
      <c r="A6" s="121" t="s">
        <v>176</v>
      </c>
      <c r="B6" s="121"/>
      <c r="C6" s="121"/>
      <c r="D6" s="121"/>
      <c r="E6" s="121"/>
      <c r="F6" s="121"/>
      <c r="G6" s="121"/>
      <c r="H6" s="121"/>
    </row>
    <row r="7" spans="1:8" ht="18" x14ac:dyDescent="0.25">
      <c r="A7" s="111" t="s">
        <v>161</v>
      </c>
      <c r="B7" s="135"/>
      <c r="C7" s="135"/>
      <c r="D7" s="135"/>
      <c r="E7" s="135"/>
      <c r="F7" s="135"/>
      <c r="G7" s="135"/>
      <c r="H7" s="135"/>
    </row>
    <row r="8" spans="1:8" ht="18" x14ac:dyDescent="0.35">
      <c r="A8" s="111" t="s">
        <v>162</v>
      </c>
      <c r="B8" s="136" t="s">
        <v>177</v>
      </c>
      <c r="C8" s="136"/>
      <c r="D8" s="136"/>
      <c r="E8" s="136"/>
      <c r="F8" s="136"/>
      <c r="G8" s="136"/>
      <c r="H8" s="136"/>
    </row>
    <row r="9" spans="1:8" x14ac:dyDescent="0.25">
      <c r="A9" s="112" t="s">
        <v>163</v>
      </c>
      <c r="B9" s="137" t="s">
        <v>164</v>
      </c>
      <c r="C9" s="137"/>
      <c r="D9" s="137"/>
      <c r="E9" s="137"/>
      <c r="F9" s="137"/>
      <c r="G9" s="137"/>
      <c r="H9" s="137"/>
    </row>
    <row r="10" spans="1:8" x14ac:dyDescent="0.25">
      <c r="A10" s="113" t="s">
        <v>165</v>
      </c>
      <c r="B10" s="114">
        <v>45657</v>
      </c>
      <c r="C10" s="113" t="s">
        <v>166</v>
      </c>
      <c r="D10" s="115">
        <v>35.287599999999998</v>
      </c>
      <c r="E10" s="113" t="s">
        <v>167</v>
      </c>
      <c r="F10" s="138" t="s">
        <v>175</v>
      </c>
      <c r="G10" s="139"/>
      <c r="H10" s="140"/>
    </row>
    <row r="11" spans="1:8" ht="19.95" customHeight="1" x14ac:dyDescent="0.25">
      <c r="A11" s="111" t="s">
        <v>168</v>
      </c>
      <c r="B11" s="116"/>
      <c r="C11" s="117" t="s">
        <v>167</v>
      </c>
      <c r="D11" s="118">
        <f>B11/D10</f>
        <v>0</v>
      </c>
      <c r="E11" s="111" t="s">
        <v>169</v>
      </c>
      <c r="F11" s="141"/>
      <c r="G11" s="142"/>
      <c r="H11" s="143"/>
    </row>
    <row r="12" spans="1:8" ht="22.95" customHeight="1" x14ac:dyDescent="0.25">
      <c r="A12" s="112" t="s">
        <v>170</v>
      </c>
      <c r="B12" s="116"/>
      <c r="C12" s="117" t="s">
        <v>167</v>
      </c>
      <c r="D12" s="118">
        <f>B12/D10</f>
        <v>0</v>
      </c>
      <c r="E12" s="111" t="s">
        <v>169</v>
      </c>
      <c r="F12" s="141"/>
      <c r="G12" s="142"/>
      <c r="H12" s="143"/>
    </row>
    <row r="13" spans="1:8" ht="28.95" customHeight="1" x14ac:dyDescent="0.25">
      <c r="A13" s="147" t="s">
        <v>174</v>
      </c>
      <c r="B13" s="148"/>
      <c r="C13" s="148"/>
      <c r="D13" s="148"/>
      <c r="E13" s="149"/>
      <c r="F13" s="141"/>
      <c r="G13" s="142"/>
      <c r="H13" s="143"/>
    </row>
    <row r="14" spans="1:8" ht="31.95" customHeight="1" x14ac:dyDescent="0.3">
      <c r="A14" s="150" t="s">
        <v>171</v>
      </c>
      <c r="B14" s="151"/>
      <c r="C14" s="152"/>
      <c r="D14" s="152"/>
      <c r="E14" s="152"/>
      <c r="F14" s="141"/>
      <c r="G14" s="142"/>
      <c r="H14" s="143"/>
    </row>
    <row r="15" spans="1:8" ht="27.6" customHeight="1" x14ac:dyDescent="0.25">
      <c r="A15" s="153" t="s">
        <v>172</v>
      </c>
      <c r="B15" s="153"/>
      <c r="C15" s="152"/>
      <c r="D15" s="152"/>
      <c r="E15" s="152"/>
      <c r="F15" s="144"/>
      <c r="G15" s="145"/>
      <c r="H15" s="146"/>
    </row>
    <row r="16" spans="1:8" ht="33" customHeight="1" x14ac:dyDescent="0.25">
      <c r="A16" s="154"/>
      <c r="B16" s="155"/>
      <c r="C16" s="155"/>
      <c r="D16" s="155"/>
      <c r="E16" s="155"/>
      <c r="F16" s="155"/>
      <c r="G16" s="155"/>
      <c r="H16" s="156"/>
    </row>
    <row r="17" spans="1:8" ht="18" x14ac:dyDescent="0.25">
      <c r="A17" s="131" t="s">
        <v>173</v>
      </c>
      <c r="B17" s="123"/>
      <c r="C17" s="123"/>
      <c r="D17" s="123"/>
      <c r="E17" s="123"/>
      <c r="F17" s="123"/>
      <c r="G17" s="123"/>
      <c r="H17" s="124"/>
    </row>
    <row r="18" spans="1:8" ht="21" x14ac:dyDescent="0.4">
      <c r="A18" s="157" t="s">
        <v>176</v>
      </c>
      <c r="B18" s="158"/>
      <c r="C18" s="158"/>
      <c r="D18" s="158"/>
      <c r="E18" s="158"/>
      <c r="F18" s="158"/>
      <c r="G18" s="158"/>
      <c r="H18" s="159"/>
    </row>
    <row r="19" spans="1:8" ht="18" x14ac:dyDescent="0.25">
      <c r="A19" s="111" t="s">
        <v>161</v>
      </c>
      <c r="B19" s="160"/>
      <c r="C19" s="161"/>
      <c r="D19" s="161"/>
      <c r="E19" s="161"/>
      <c r="F19" s="161"/>
      <c r="G19" s="161"/>
      <c r="H19" s="162"/>
    </row>
    <row r="20" spans="1:8" ht="18" x14ac:dyDescent="0.35">
      <c r="A20" s="111" t="s">
        <v>162</v>
      </c>
      <c r="B20" s="163" t="s">
        <v>177</v>
      </c>
      <c r="C20" s="164"/>
      <c r="D20" s="164"/>
      <c r="E20" s="164"/>
      <c r="F20" s="164"/>
      <c r="G20" s="164"/>
      <c r="H20" s="165"/>
    </row>
    <row r="21" spans="1:8" x14ac:dyDescent="0.25">
      <c r="A21" s="112" t="s">
        <v>163</v>
      </c>
      <c r="B21" s="132" t="s">
        <v>164</v>
      </c>
      <c r="C21" s="133"/>
      <c r="D21" s="133"/>
      <c r="E21" s="133"/>
      <c r="F21" s="133"/>
      <c r="G21" s="133"/>
      <c r="H21" s="134"/>
    </row>
    <row r="22" spans="1:8" ht="22.95" customHeight="1" x14ac:dyDescent="0.25">
      <c r="A22" s="111" t="s">
        <v>165</v>
      </c>
      <c r="B22" s="119">
        <v>45657</v>
      </c>
      <c r="C22" s="111" t="s">
        <v>166</v>
      </c>
      <c r="D22" s="120">
        <v>35.287599999999998</v>
      </c>
      <c r="E22" s="111" t="s">
        <v>167</v>
      </c>
      <c r="F22" s="138" t="s">
        <v>175</v>
      </c>
      <c r="G22" s="139"/>
      <c r="H22" s="140"/>
    </row>
    <row r="23" spans="1:8" ht="22.95" customHeight="1" x14ac:dyDescent="0.25">
      <c r="A23" s="111" t="s">
        <v>168</v>
      </c>
      <c r="B23" s="116"/>
      <c r="C23" s="117" t="s">
        <v>167</v>
      </c>
      <c r="D23" s="118">
        <f>B23/D22</f>
        <v>0</v>
      </c>
      <c r="E23" s="111" t="s">
        <v>169</v>
      </c>
      <c r="F23" s="141"/>
      <c r="G23" s="142"/>
      <c r="H23" s="143"/>
    </row>
    <row r="24" spans="1:8" ht="22.95" customHeight="1" x14ac:dyDescent="0.25">
      <c r="A24" s="112" t="s">
        <v>170</v>
      </c>
      <c r="B24" s="116"/>
      <c r="C24" s="117" t="s">
        <v>167</v>
      </c>
      <c r="D24" s="118">
        <f>B24/D22</f>
        <v>0</v>
      </c>
      <c r="E24" s="111" t="s">
        <v>169</v>
      </c>
      <c r="F24" s="141"/>
      <c r="G24" s="142"/>
      <c r="H24" s="143"/>
    </row>
    <row r="25" spans="1:8" ht="31.95" customHeight="1" x14ac:dyDescent="0.25">
      <c r="A25" s="147" t="s">
        <v>174</v>
      </c>
      <c r="B25" s="148"/>
      <c r="C25" s="148"/>
      <c r="D25" s="148"/>
      <c r="E25" s="149"/>
      <c r="F25" s="141"/>
      <c r="G25" s="142"/>
      <c r="H25" s="143"/>
    </row>
    <row r="26" spans="1:8" ht="33.6" customHeight="1" x14ac:dyDescent="0.3">
      <c r="A26" s="150" t="s">
        <v>171</v>
      </c>
      <c r="B26" s="151"/>
      <c r="C26" s="152"/>
      <c r="D26" s="152"/>
      <c r="E26" s="152"/>
      <c r="F26" s="141"/>
      <c r="G26" s="142"/>
      <c r="H26" s="143"/>
    </row>
    <row r="27" spans="1:8" ht="23.4" customHeight="1" x14ac:dyDescent="0.25">
      <c r="A27" s="153" t="s">
        <v>172</v>
      </c>
      <c r="B27" s="153"/>
      <c r="C27" s="152"/>
      <c r="D27" s="152"/>
      <c r="E27" s="152"/>
      <c r="F27" s="144"/>
      <c r="G27" s="145"/>
      <c r="H27" s="146"/>
    </row>
    <row r="28" spans="1:8" x14ac:dyDescent="0.25">
      <c r="A28" t="s">
        <v>178</v>
      </c>
    </row>
  </sheetData>
  <sheetProtection formatCells="0" formatColumns="0" formatRows="0" insertColumns="0" insertRows="0" insertHyperlinks="0" deleteColumns="0" deleteRows="0" sort="0" autoFilter="0" pivotTables="0"/>
  <mergeCells count="27">
    <mergeCell ref="F22:H27"/>
    <mergeCell ref="A25:E25"/>
    <mergeCell ref="A26:B26"/>
    <mergeCell ref="C26:E26"/>
    <mergeCell ref="A27:B27"/>
    <mergeCell ref="C27:E27"/>
    <mergeCell ref="B21:H21"/>
    <mergeCell ref="B7:H7"/>
    <mergeCell ref="B8:H8"/>
    <mergeCell ref="B9:H9"/>
    <mergeCell ref="F10:H15"/>
    <mergeCell ref="A13:E13"/>
    <mergeCell ref="A14:B14"/>
    <mergeCell ref="C14:E14"/>
    <mergeCell ref="A15:B15"/>
    <mergeCell ref="C15:E15"/>
    <mergeCell ref="A16:H16"/>
    <mergeCell ref="A17:H17"/>
    <mergeCell ref="A18:H18"/>
    <mergeCell ref="B19:H19"/>
    <mergeCell ref="B20:H20"/>
    <mergeCell ref="A6:H6"/>
    <mergeCell ref="A1:H1"/>
    <mergeCell ref="A2:H2"/>
    <mergeCell ref="A3:H3"/>
    <mergeCell ref="A4:H4"/>
    <mergeCell ref="A5:H5"/>
  </mergeCells>
  <hyperlinks>
    <hyperlink ref="B9" r:id="rId1" xr:uid="{E106CC56-FFFC-41BF-8A96-32681A2F5016}"/>
    <hyperlink ref="B21" r:id="rId2" xr:uid="{144B394F-DC9F-4FBC-970B-7D6D6896776C}"/>
  </hyperlinks>
  <pageMargins left="0.7" right="0.7" top="0.75" bottom="0.75" header="0.3" footer="0.3"/>
  <pageSetup paperSize="9" scale="65"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D9145-2E8D-4D37-A1C4-B5575DE40275}">
  <sheetPr>
    <tabColor theme="9"/>
  </sheetPr>
  <dimension ref="A1:O49"/>
  <sheetViews>
    <sheetView zoomScale="110" zoomScaleNormal="110" workbookViewId="0">
      <pane ySplit="11" topLeftCell="A12" activePane="bottomLeft" state="frozen"/>
      <selection pane="bottomLeft" activeCell="C4" sqref="C4"/>
    </sheetView>
  </sheetViews>
  <sheetFormatPr defaultColWidth="9" defaultRowHeight="13.2" x14ac:dyDescent="0.25"/>
  <cols>
    <col min="1" max="1" width="9" style="2"/>
    <col min="2" max="2" width="20.5546875" style="2" customWidth="1"/>
    <col min="3" max="3" width="17" style="2" bestFit="1" customWidth="1"/>
    <col min="4" max="5" width="12.5546875" style="2" customWidth="1"/>
    <col min="6" max="6" width="9" style="2"/>
    <col min="7" max="7" width="11.5546875" style="2" customWidth="1"/>
    <col min="8" max="9" width="9" style="2"/>
    <col min="10" max="10" width="10.44140625" style="2" bestFit="1" customWidth="1"/>
    <col min="11" max="16384" width="9" style="2"/>
  </cols>
  <sheetData>
    <row r="1" spans="1:15" x14ac:dyDescent="0.25">
      <c r="A1" s="1" t="s">
        <v>41</v>
      </c>
      <c r="B1" s="1"/>
      <c r="C1" s="1"/>
      <c r="D1" s="1"/>
      <c r="E1" s="1"/>
      <c r="F1" s="1"/>
      <c r="G1" s="1"/>
      <c r="H1" s="1"/>
      <c r="I1" s="1"/>
      <c r="J1" s="1"/>
      <c r="K1" s="1"/>
      <c r="L1" s="1"/>
      <c r="M1" s="1"/>
      <c r="N1" s="1"/>
      <c r="O1" s="1"/>
    </row>
    <row r="2" spans="1:15" ht="13.8" thickBot="1" x14ac:dyDescent="0.3">
      <c r="A2" s="3"/>
      <c r="B2" s="3"/>
      <c r="C2" s="3"/>
      <c r="D2" s="3"/>
      <c r="E2" s="3"/>
      <c r="F2" s="3"/>
      <c r="G2" s="3"/>
      <c r="H2" s="3"/>
      <c r="I2" s="3"/>
      <c r="J2" s="3"/>
      <c r="K2" s="3"/>
      <c r="L2" s="3"/>
      <c r="M2" s="3"/>
      <c r="N2" s="3"/>
      <c r="O2" s="3"/>
    </row>
    <row r="3" spans="1:15" ht="13.8" thickBot="1" x14ac:dyDescent="0.3">
      <c r="A3" s="3"/>
      <c r="B3" s="4" t="s">
        <v>42</v>
      </c>
      <c r="C3" s="54" t="s">
        <v>43</v>
      </c>
      <c r="D3" s="3"/>
      <c r="E3" s="5" t="s">
        <v>44</v>
      </c>
      <c r="F3" s="5" t="s">
        <v>45</v>
      </c>
      <c r="G3" s="5" t="s">
        <v>43</v>
      </c>
      <c r="H3" s="5" t="s">
        <v>46</v>
      </c>
      <c r="I3" s="3"/>
      <c r="J3" s="3"/>
      <c r="K3" s="3"/>
      <c r="L3" s="3"/>
      <c r="M3" s="3"/>
      <c r="N3" s="3"/>
      <c r="O3" s="3"/>
    </row>
    <row r="4" spans="1:15" ht="27" thickBot="1" x14ac:dyDescent="0.3">
      <c r="A4" s="3"/>
      <c r="B4" s="55" t="s">
        <v>47</v>
      </c>
      <c r="C4" s="56"/>
      <c r="D4" s="3"/>
      <c r="E4" s="3"/>
      <c r="F4" s="3"/>
      <c r="G4" s="3"/>
      <c r="H4" s="3"/>
      <c r="I4" s="3"/>
      <c r="J4" s="3"/>
      <c r="K4" s="3"/>
      <c r="L4" s="3"/>
      <c r="M4" s="3"/>
      <c r="N4" s="3"/>
      <c r="O4" s="3"/>
    </row>
    <row r="5" spans="1:15" x14ac:dyDescent="0.25">
      <c r="A5" s="3"/>
      <c r="B5" s="3"/>
      <c r="C5" s="3"/>
      <c r="D5" s="3"/>
      <c r="E5" s="3"/>
      <c r="F5" s="3"/>
      <c r="G5" s="3"/>
      <c r="H5" s="3"/>
      <c r="I5" s="3"/>
      <c r="J5" s="3"/>
      <c r="K5" s="3"/>
      <c r="L5" s="3"/>
      <c r="M5" s="3"/>
      <c r="N5" s="3"/>
      <c r="O5" s="3"/>
    </row>
    <row r="6" spans="1:15" x14ac:dyDescent="0.25">
      <c r="A6" s="1" t="s">
        <v>48</v>
      </c>
      <c r="B6" s="6"/>
      <c r="C6" s="1"/>
      <c r="D6" s="1"/>
      <c r="E6" s="1"/>
      <c r="F6" s="1"/>
      <c r="G6" s="1"/>
      <c r="H6" s="1"/>
      <c r="I6" s="1"/>
      <c r="J6" s="1"/>
      <c r="K6" s="1"/>
      <c r="L6" s="1"/>
      <c r="M6" s="1"/>
      <c r="N6" s="1"/>
      <c r="O6" s="1"/>
    </row>
    <row r="7" spans="1:15" ht="13.8" thickBot="1" x14ac:dyDescent="0.3">
      <c r="A7" s="3"/>
      <c r="B7" s="3"/>
      <c r="C7" s="3"/>
      <c r="D7" s="3"/>
      <c r="E7" s="3"/>
      <c r="F7" s="3"/>
      <c r="G7" s="3"/>
      <c r="H7" s="3"/>
      <c r="I7" s="3"/>
      <c r="J7" s="3"/>
      <c r="K7" s="3"/>
      <c r="L7" s="3"/>
      <c r="M7" s="3"/>
      <c r="N7" s="3"/>
      <c r="O7" s="3"/>
    </row>
    <row r="8" spans="1:15" ht="13.8" thickBot="1" x14ac:dyDescent="0.3">
      <c r="A8" s="3"/>
      <c r="B8" s="4" t="s">
        <v>49</v>
      </c>
      <c r="C8" s="83" cm="1">
        <f t="array" ref="C8">_xlfn.IFS(CH_Turnover&lt;=1000000,1,CH_Turnover&lt;=5000000,2,CH_Turnover&lt;=25000000,3,CH_Turnover&lt;=100000000,4,CH_Turnover&lt;=500000000,5,CH_Turnover&lt;=2000000000,6,CH_Turnover&gt;2000000000,7)</f>
        <v>1</v>
      </c>
      <c r="D8" s="3"/>
      <c r="E8" s="5"/>
      <c r="F8" s="5"/>
      <c r="G8" s="3"/>
      <c r="H8" s="3"/>
      <c r="I8" s="3"/>
      <c r="J8" s="3"/>
      <c r="K8" s="3"/>
      <c r="L8" s="3"/>
      <c r="M8" s="3"/>
      <c r="N8" s="3"/>
      <c r="O8" s="3"/>
    </row>
    <row r="9" spans="1:15" ht="13.8" thickBot="1" x14ac:dyDescent="0.3">
      <c r="A9" s="3"/>
      <c r="B9" s="4" t="s">
        <v>50</v>
      </c>
      <c r="C9" s="109">
        <f>ROUNDUP(MAX(Base_Cost_New + Additional_AAF_New, C47),0)</f>
        <v>97</v>
      </c>
      <c r="D9" s="3"/>
      <c r="E9" s="3"/>
      <c r="F9" s="3"/>
      <c r="G9" s="3"/>
      <c r="H9" s="3"/>
      <c r="I9" s="3"/>
      <c r="J9" s="3"/>
      <c r="K9" s="3"/>
      <c r="L9" s="3"/>
      <c r="M9" s="3"/>
      <c r="N9" s="3"/>
      <c r="O9" s="3"/>
    </row>
    <row r="10" spans="1:15" x14ac:dyDescent="0.25">
      <c r="A10" s="3"/>
      <c r="B10" s="3"/>
      <c r="C10" s="3"/>
      <c r="D10" s="3"/>
      <c r="E10" s="3"/>
      <c r="F10" s="3"/>
      <c r="G10" s="3"/>
      <c r="H10" s="3"/>
      <c r="I10" s="3"/>
      <c r="J10" s="3"/>
      <c r="K10" s="3"/>
      <c r="L10" s="3"/>
      <c r="M10" s="3"/>
      <c r="N10" s="3"/>
      <c r="O10" s="3"/>
    </row>
    <row r="11" spans="1:15" x14ac:dyDescent="0.25">
      <c r="A11" s="7" t="s">
        <v>51</v>
      </c>
      <c r="B11" s="7"/>
      <c r="C11" s="7"/>
      <c r="D11" s="7"/>
      <c r="E11" s="7"/>
      <c r="F11" s="7"/>
      <c r="G11" s="7"/>
      <c r="H11" s="7"/>
      <c r="I11" s="7"/>
      <c r="J11" s="7"/>
      <c r="K11" s="7"/>
      <c r="L11" s="7"/>
      <c r="M11" s="7"/>
      <c r="N11" s="7"/>
      <c r="O11" s="7"/>
    </row>
    <row r="12" spans="1:15" s="8" customFormat="1" ht="10.199999999999999" x14ac:dyDescent="0.25"/>
    <row r="13" spans="1:15" s="8" customFormat="1" ht="10.199999999999999" x14ac:dyDescent="0.25">
      <c r="B13" s="9" t="s">
        <v>52</v>
      </c>
      <c r="C13" s="9">
        <f>MATCH(CoC_Type, CoC_Cert_Types, 0) - 1</f>
        <v>1</v>
      </c>
    </row>
    <row r="14" spans="1:15" s="8" customFormat="1" ht="10.199999999999999" x14ac:dyDescent="0.25"/>
    <row r="15" spans="1:15" s="8" customFormat="1" ht="10.199999999999999" x14ac:dyDescent="0.25">
      <c r="A15" s="10" t="s">
        <v>53</v>
      </c>
      <c r="B15" s="11"/>
      <c r="C15" s="11"/>
      <c r="D15" s="11"/>
      <c r="E15" s="11"/>
      <c r="F15" s="11"/>
      <c r="G15" s="11"/>
      <c r="H15" s="11"/>
      <c r="I15" s="11"/>
      <c r="J15" s="11"/>
      <c r="K15" s="11"/>
      <c r="L15" s="11"/>
      <c r="M15" s="11"/>
      <c r="N15" s="11"/>
      <c r="O15" s="11"/>
    </row>
    <row r="16" spans="1:15" s="8" customFormat="1" ht="10.199999999999999" x14ac:dyDescent="0.25"/>
    <row r="17" spans="1:15" s="8" customFormat="1" ht="10.199999999999999" x14ac:dyDescent="0.25">
      <c r="B17" s="8" t="s">
        <v>54</v>
      </c>
      <c r="C17" s="12" t="s">
        <v>49</v>
      </c>
      <c r="D17" s="12" t="s">
        <v>55</v>
      </c>
      <c r="E17" s="12" t="s">
        <v>56</v>
      </c>
    </row>
    <row r="18" spans="1:15" s="8" customFormat="1" ht="10.199999999999999" x14ac:dyDescent="0.25">
      <c r="B18" s="58">
        <v>0</v>
      </c>
      <c r="C18" s="12">
        <v>1</v>
      </c>
      <c r="D18" s="85">
        <f>Inflation!E24</f>
        <v>0</v>
      </c>
      <c r="E18" s="85">
        <f>Inflation!E38</f>
        <v>0</v>
      </c>
      <c r="H18" s="13"/>
    </row>
    <row r="19" spans="1:15" s="8" customFormat="1" ht="10.199999999999999" x14ac:dyDescent="0.25">
      <c r="B19" s="58">
        <v>1000000</v>
      </c>
      <c r="C19" s="12">
        <v>2</v>
      </c>
      <c r="D19" s="85">
        <f>Inflation!E25</f>
        <v>660.56</v>
      </c>
      <c r="E19" s="85">
        <f>Inflation!E39</f>
        <v>198.52</v>
      </c>
      <c r="H19" s="13"/>
    </row>
    <row r="20" spans="1:15" s="8" customFormat="1" ht="10.199999999999999" x14ac:dyDescent="0.25">
      <c r="B20" s="58">
        <v>5000000</v>
      </c>
      <c r="C20" s="12">
        <v>3</v>
      </c>
      <c r="D20" s="85">
        <f>Inflation!E26</f>
        <v>1525.44</v>
      </c>
      <c r="E20" s="85">
        <f>Inflation!E40</f>
        <v>458.56</v>
      </c>
      <c r="H20" s="13"/>
    </row>
    <row r="21" spans="1:15" s="8" customFormat="1" ht="10.199999999999999" x14ac:dyDescent="0.25">
      <c r="B21" s="58">
        <v>25000000</v>
      </c>
      <c r="C21" s="12">
        <v>4</v>
      </c>
      <c r="D21" s="85">
        <f>Inflation!E27</f>
        <v>3326.02</v>
      </c>
      <c r="E21" s="85">
        <f>Inflation!E41</f>
        <v>999.55</v>
      </c>
      <c r="H21" s="13"/>
    </row>
    <row r="22" spans="1:15" s="8" customFormat="1" ht="10.199999999999999" x14ac:dyDescent="0.25">
      <c r="B22" s="58">
        <v>100000000</v>
      </c>
      <c r="C22" s="12">
        <v>5</v>
      </c>
      <c r="D22" s="85">
        <f>Inflation!E28</f>
        <v>6027.48</v>
      </c>
      <c r="E22" s="85">
        <f>Inflation!E42</f>
        <v>1811.03</v>
      </c>
      <c r="H22" s="13"/>
    </row>
    <row r="23" spans="1:15" s="8" customFormat="1" ht="10.199999999999999" x14ac:dyDescent="0.25">
      <c r="B23" s="58">
        <v>500000000</v>
      </c>
      <c r="C23" s="12">
        <v>6</v>
      </c>
      <c r="D23" s="85">
        <f>Inflation!E29</f>
        <v>14669.33</v>
      </c>
      <c r="E23" s="85">
        <f>Inflation!E43</f>
        <v>4402.1899999999996</v>
      </c>
      <c r="H23" s="13"/>
    </row>
    <row r="24" spans="1:15" s="8" customFormat="1" ht="10.199999999999999" x14ac:dyDescent="0.25">
      <c r="B24" s="58">
        <v>2000000000</v>
      </c>
      <c r="C24" s="12">
        <v>7</v>
      </c>
      <c r="D24" s="85">
        <f>Inflation!E30</f>
        <v>41678.050000000003</v>
      </c>
      <c r="E24" s="85">
        <f>Inflation!E44</f>
        <v>12499.58</v>
      </c>
      <c r="H24" s="13"/>
    </row>
    <row r="25" spans="1:15" s="8" customFormat="1" ht="10.199999999999999" x14ac:dyDescent="0.25"/>
    <row r="26" spans="1:15" s="8" customFormat="1" ht="10.199999999999999" x14ac:dyDescent="0.25">
      <c r="B26" s="8" t="s">
        <v>57</v>
      </c>
      <c r="C26" s="58" cm="1">
        <f t="array" ref="C26">IF(CoC_Type &lt;&gt; "None", INDEX(Turnover_Bands_Min, AAF_Class), 0)</f>
        <v>0</v>
      </c>
    </row>
    <row r="27" spans="1:15" s="8" customFormat="1" ht="10.199999999999999" x14ac:dyDescent="0.25">
      <c r="B27" s="8" t="s">
        <v>58</v>
      </c>
      <c r="C27" s="85">
        <f>IF(CoC_Type &lt;&gt; "None", VLOOKUP(AAF_Class, Base_Costs_Lookup, COC_Type_Index + 1), 0)</f>
        <v>0</v>
      </c>
    </row>
    <row r="28" spans="1:15" s="8" customFormat="1" ht="10.199999999999999" x14ac:dyDescent="0.25"/>
    <row r="29" spans="1:15" s="8" customFormat="1" ht="10.199999999999999" x14ac:dyDescent="0.25">
      <c r="A29" s="10" t="s">
        <v>59</v>
      </c>
      <c r="B29" s="11"/>
      <c r="C29" s="11"/>
      <c r="D29" s="11"/>
      <c r="E29" s="11"/>
      <c r="F29" s="11"/>
      <c r="G29" s="11"/>
      <c r="H29" s="11"/>
      <c r="I29" s="11"/>
      <c r="J29" s="11"/>
      <c r="K29" s="11"/>
      <c r="L29" s="11"/>
      <c r="M29" s="11"/>
      <c r="N29" s="11"/>
      <c r="O29" s="11"/>
    </row>
    <row r="30" spans="1:15" s="8" customFormat="1" ht="10.199999999999999" x14ac:dyDescent="0.25"/>
    <row r="31" spans="1:15" s="8" customFormat="1" ht="10.199999999999999" x14ac:dyDescent="0.25">
      <c r="B31" s="8" t="s">
        <v>54</v>
      </c>
      <c r="C31" s="12" t="s">
        <v>49</v>
      </c>
      <c r="D31" s="12" t="s">
        <v>55</v>
      </c>
      <c r="E31" s="12" t="s">
        <v>56</v>
      </c>
    </row>
    <row r="32" spans="1:15" s="8" customFormat="1" ht="10.199999999999999" x14ac:dyDescent="0.25">
      <c r="B32" s="58">
        <f t="shared" ref="B32:B38" si="0">B18</f>
        <v>0</v>
      </c>
      <c r="C32" s="12">
        <f t="shared" ref="C32:C38" si="1">C18</f>
        <v>1</v>
      </c>
      <c r="D32" s="59">
        <f>Inflation!E6</f>
        <v>660.21</v>
      </c>
      <c r="E32" s="59">
        <f>Inflation!E31</f>
        <v>198.06</v>
      </c>
    </row>
    <row r="33" spans="1:15" s="8" customFormat="1" ht="10.199999999999999" x14ac:dyDescent="0.25">
      <c r="B33" s="58">
        <f t="shared" si="0"/>
        <v>1000000</v>
      </c>
      <c r="C33" s="12">
        <f t="shared" si="1"/>
        <v>2</v>
      </c>
      <c r="D33" s="59">
        <f>Inflation!E7</f>
        <v>216.07</v>
      </c>
      <c r="E33" s="59">
        <f>Inflation!E32</f>
        <v>64.83</v>
      </c>
    </row>
    <row r="34" spans="1:15" s="8" customFormat="1" ht="10.199999999999999" x14ac:dyDescent="0.25">
      <c r="B34" s="58">
        <f t="shared" si="0"/>
        <v>5000000</v>
      </c>
      <c r="C34" s="12">
        <f t="shared" si="1"/>
        <v>3</v>
      </c>
      <c r="D34" s="59">
        <f>Inflation!E8</f>
        <v>90.03</v>
      </c>
      <c r="E34" s="59">
        <f>Inflation!E33</f>
        <v>27.01</v>
      </c>
    </row>
    <row r="35" spans="1:15" s="8" customFormat="1" ht="10.199999999999999" x14ac:dyDescent="0.25">
      <c r="B35" s="58">
        <f t="shared" si="0"/>
        <v>25000000</v>
      </c>
      <c r="C35" s="12">
        <f t="shared" si="1"/>
        <v>4</v>
      </c>
      <c r="D35" s="59">
        <f>Inflation!E9</f>
        <v>36.01</v>
      </c>
      <c r="E35" s="59">
        <f>Inflation!E34</f>
        <v>10.81</v>
      </c>
    </row>
    <row r="36" spans="1:15" s="8" customFormat="1" ht="10.199999999999999" x14ac:dyDescent="0.25">
      <c r="B36" s="58">
        <f t="shared" si="0"/>
        <v>100000000</v>
      </c>
      <c r="C36" s="12">
        <f t="shared" si="1"/>
        <v>5</v>
      </c>
      <c r="D36" s="59">
        <f>Inflation!E10</f>
        <v>21.6</v>
      </c>
      <c r="E36" s="59">
        <f>Inflation!E35</f>
        <v>6.48</v>
      </c>
    </row>
    <row r="37" spans="1:15" s="8" customFormat="1" ht="10.199999999999999" x14ac:dyDescent="0.25">
      <c r="B37" s="58">
        <f t="shared" si="0"/>
        <v>500000000</v>
      </c>
      <c r="C37" s="12">
        <f t="shared" si="1"/>
        <v>6</v>
      </c>
      <c r="D37" s="59">
        <f>Inflation!E11</f>
        <v>18.010000000000002</v>
      </c>
      <c r="E37" s="59">
        <f>Inflation!E36</f>
        <v>5.4</v>
      </c>
    </row>
    <row r="38" spans="1:15" s="8" customFormat="1" ht="10.199999999999999" x14ac:dyDescent="0.25">
      <c r="B38" s="58">
        <f t="shared" si="0"/>
        <v>2000000000</v>
      </c>
      <c r="C38" s="12">
        <f t="shared" si="1"/>
        <v>7</v>
      </c>
      <c r="D38" s="59">
        <f>Inflation!E12</f>
        <v>15.01</v>
      </c>
      <c r="E38" s="59">
        <f>Inflation!E37</f>
        <v>4.5</v>
      </c>
    </row>
    <row r="39" spans="1:15" s="8" customFormat="1" ht="10.199999999999999" x14ac:dyDescent="0.25"/>
    <row r="40" spans="1:15" s="8" customFormat="1" ht="10.199999999999999" x14ac:dyDescent="0.25">
      <c r="B40" s="8" t="s">
        <v>60</v>
      </c>
      <c r="C40" s="85">
        <f>IF(CoC_Type &lt;&gt; "None", VLOOKUP(AAF_Class, Variable_Costs_Lookup, COC_Type_Index + 1), 0)</f>
        <v>660.21</v>
      </c>
    </row>
    <row r="41" spans="1:15" s="8" customFormat="1" ht="10.199999999999999" x14ac:dyDescent="0.25">
      <c r="B41" s="8" t="s">
        <v>61</v>
      </c>
      <c r="C41" s="58">
        <f>IF(CoC_Type &lt;&gt; "None", CH_Turnover - Class_Base_Turnover_New, 0)</f>
        <v>0</v>
      </c>
    </row>
    <row r="42" spans="1:15" s="8" customFormat="1" ht="10.199999999999999" x14ac:dyDescent="0.25">
      <c r="B42" s="8" t="s">
        <v>62</v>
      </c>
      <c r="C42" s="86">
        <f>(C41 / 1000000 * C40)</f>
        <v>0</v>
      </c>
    </row>
    <row r="43" spans="1:15" ht="10.35" customHeight="1" x14ac:dyDescent="0.25"/>
    <row r="44" spans="1:15" ht="10.35" customHeight="1" x14ac:dyDescent="0.25">
      <c r="A44" s="10" t="s">
        <v>63</v>
      </c>
      <c r="B44" s="11"/>
      <c r="C44" s="11"/>
      <c r="D44" s="11"/>
      <c r="E44" s="11"/>
      <c r="F44" s="11"/>
      <c r="G44" s="11"/>
      <c r="H44" s="11"/>
      <c r="I44" s="11"/>
      <c r="J44" s="11"/>
      <c r="K44" s="11"/>
      <c r="L44" s="11"/>
      <c r="M44" s="11"/>
      <c r="N44" s="11"/>
      <c r="O44" s="11"/>
    </row>
    <row r="45" spans="1:15" ht="10.35" customHeight="1" x14ac:dyDescent="0.25"/>
    <row r="46" spans="1:15" ht="10.35" customHeight="1" x14ac:dyDescent="0.25">
      <c r="B46" s="8" t="s">
        <v>64</v>
      </c>
      <c r="C46" s="58">
        <f>Inflation!E13</f>
        <v>97</v>
      </c>
    </row>
    <row r="47" spans="1:15" ht="10.35" customHeight="1" x14ac:dyDescent="0.25">
      <c r="B47" s="8" t="s">
        <v>65</v>
      </c>
      <c r="C47" s="58">
        <f>IF(CoC_Type = "None", 0, Min_CoC_Fee)</f>
        <v>97</v>
      </c>
    </row>
    <row r="48" spans="1:15" ht="10.35" customHeight="1" x14ac:dyDescent="0.25"/>
    <row r="49" ht="10.35" customHeight="1" x14ac:dyDescent="0.25"/>
  </sheetData>
  <sheetProtection algorithmName="SHA-512" hashValue="wSQCYtNRfwZzf1i4SJC3hqHWy5xXlhkUlvFHRq54EHU+7yE/R+Fmziql8s90CND/IAU3b6Ejl2b27P76W704XA==" saltValue="oNEyvd1JHvAEW6GoZfhJzQ==" spinCount="100000" sheet="1" objects="1" scenarios="1"/>
  <conditionalFormatting sqref="C4">
    <cfRule type="expression" dxfId="0" priority="1">
      <formula>$C$3 = "None"</formula>
    </cfRule>
  </conditionalFormatting>
  <dataValidations count="1">
    <dataValidation type="list" allowBlank="1" showInputMessage="1" showErrorMessage="1" sqref="C3" xr:uid="{3852BA44-0203-46F4-8893-16A5CAC40D59}">
      <formula1>CoC_Cert_Types</formula1>
    </dataValidation>
  </dataValidations>
  <pageMargins left="0.7" right="0.7" top="0.75" bottom="0.75" header="0.3" footer="0.3"/>
  <pageSetup paperSize="9" orientation="portrait" horizontalDpi="4294967293"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E0EDD-E41B-4358-9DF7-E616533BD91A}">
  <sheetPr>
    <tabColor theme="7" tint="-0.499984740745262"/>
  </sheetPr>
  <dimension ref="A1:P59"/>
  <sheetViews>
    <sheetView zoomScaleNormal="100" workbookViewId="0">
      <pane ySplit="16" topLeftCell="A17" activePane="bottomLeft" state="frozen"/>
      <selection pane="bottomLeft" activeCell="C51" sqref="C51"/>
    </sheetView>
  </sheetViews>
  <sheetFormatPr defaultColWidth="9" defaultRowHeight="13.2" x14ac:dyDescent="0.25"/>
  <cols>
    <col min="1" max="1" width="9" style="2"/>
    <col min="2" max="2" width="18.5546875" style="2" bestFit="1" customWidth="1"/>
    <col min="3" max="9" width="12.5546875" style="2" customWidth="1"/>
    <col min="10" max="10" width="10.44140625" style="2" bestFit="1" customWidth="1"/>
    <col min="11" max="16384" width="9" style="2"/>
  </cols>
  <sheetData>
    <row r="1" spans="1:16" x14ac:dyDescent="0.25">
      <c r="A1" s="1" t="s">
        <v>41</v>
      </c>
      <c r="B1" s="1"/>
      <c r="C1" s="1"/>
      <c r="D1" s="1"/>
      <c r="E1" s="1"/>
      <c r="F1" s="1"/>
      <c r="G1" s="1"/>
      <c r="H1" s="1"/>
      <c r="I1" s="1"/>
      <c r="J1" s="1"/>
      <c r="K1" s="1"/>
      <c r="L1" s="1"/>
      <c r="M1" s="1"/>
      <c r="N1" s="1"/>
      <c r="O1" s="1"/>
      <c r="P1" s="1"/>
    </row>
    <row r="2" spans="1:16" ht="13.8" thickBot="1" x14ac:dyDescent="0.3">
      <c r="A2" s="3"/>
      <c r="B2" s="3"/>
      <c r="C2" s="3"/>
      <c r="D2" s="3"/>
      <c r="E2" s="3"/>
      <c r="F2" s="3"/>
      <c r="G2" s="3"/>
      <c r="H2" s="3"/>
      <c r="I2" s="3"/>
      <c r="J2" s="3"/>
      <c r="K2" s="3"/>
      <c r="L2" s="3"/>
      <c r="M2" s="3"/>
      <c r="N2" s="3"/>
      <c r="O2" s="3"/>
      <c r="P2" s="3"/>
    </row>
    <row r="3" spans="1:16" ht="13.8" thickBot="1" x14ac:dyDescent="0.3">
      <c r="A3" s="3"/>
      <c r="B3" s="3"/>
      <c r="C3" s="90" t="s">
        <v>66</v>
      </c>
      <c r="D3" s="3"/>
      <c r="E3" s="3"/>
      <c r="F3" s="3"/>
      <c r="G3" s="3"/>
      <c r="H3" s="3"/>
      <c r="I3" s="3"/>
      <c r="J3" s="3"/>
      <c r="K3" s="3"/>
      <c r="L3" s="3"/>
      <c r="M3" s="3"/>
      <c r="N3" s="3"/>
      <c r="O3" s="3"/>
    </row>
    <row r="4" spans="1:16" ht="13.8" thickBot="1" x14ac:dyDescent="0.3">
      <c r="A4" s="3"/>
      <c r="B4" s="4" t="s">
        <v>67</v>
      </c>
      <c r="C4" s="96"/>
      <c r="D4" s="3"/>
      <c r="E4" s="3"/>
      <c r="F4" s="3"/>
      <c r="G4" s="3"/>
      <c r="H4" s="3"/>
      <c r="I4" s="3"/>
      <c r="J4" s="3"/>
      <c r="K4" s="3"/>
      <c r="L4" s="3"/>
      <c r="M4" s="3"/>
      <c r="N4" s="3"/>
      <c r="O4" s="3"/>
    </row>
    <row r="5" spans="1:16" ht="13.8" thickBot="1" x14ac:dyDescent="0.3">
      <c r="A5" s="3"/>
      <c r="B5" s="3"/>
      <c r="C5" s="3"/>
      <c r="D5" s="3"/>
      <c r="E5" s="3"/>
      <c r="F5" s="3"/>
      <c r="G5" s="3"/>
      <c r="H5" s="3"/>
      <c r="I5" s="3"/>
      <c r="J5" s="3"/>
      <c r="K5" s="3"/>
      <c r="L5" s="3"/>
      <c r="M5" s="3"/>
      <c r="N5" s="3"/>
      <c r="O5" s="3"/>
      <c r="P5" s="3"/>
    </row>
    <row r="6" spans="1:16" ht="13.8" thickBot="1" x14ac:dyDescent="0.3">
      <c r="A6" s="3"/>
      <c r="B6" s="4" t="s">
        <v>68</v>
      </c>
      <c r="C6" s="89" t="s">
        <v>43</v>
      </c>
      <c r="D6" s="89" t="s">
        <v>46</v>
      </c>
      <c r="E6" s="5"/>
      <c r="F6" s="5"/>
      <c r="G6" s="5"/>
      <c r="H6" s="3"/>
      <c r="I6" s="3"/>
      <c r="J6" s="3"/>
      <c r="K6" s="3"/>
      <c r="L6" s="3"/>
      <c r="M6" s="3"/>
      <c r="N6" s="3"/>
      <c r="O6" s="3"/>
      <c r="P6" s="3"/>
    </row>
    <row r="7" spans="1:16" ht="13.8" thickBot="1" x14ac:dyDescent="0.3">
      <c r="A7" s="3"/>
      <c r="B7" s="4" t="s">
        <v>69</v>
      </c>
      <c r="C7" s="97"/>
      <c r="D7" s="97"/>
      <c r="E7" s="3"/>
      <c r="F7" s="3"/>
      <c r="G7" s="3"/>
      <c r="H7" s="3"/>
      <c r="I7" s="3"/>
      <c r="J7" s="3"/>
      <c r="K7" s="3"/>
      <c r="L7" s="3"/>
      <c r="M7" s="3"/>
      <c r="N7" s="3"/>
      <c r="O7" s="3"/>
      <c r="P7" s="3"/>
    </row>
    <row r="8" spans="1:16" x14ac:dyDescent="0.25">
      <c r="A8" s="3"/>
      <c r="B8" s="3"/>
      <c r="C8" s="3"/>
      <c r="D8" s="3"/>
      <c r="E8" s="3"/>
      <c r="F8" s="3"/>
      <c r="G8" s="3"/>
      <c r="H8" s="3"/>
      <c r="I8" s="3"/>
      <c r="J8" s="3"/>
      <c r="K8" s="3"/>
      <c r="L8" s="3"/>
      <c r="M8" s="3"/>
      <c r="N8" s="3"/>
      <c r="O8" s="3"/>
      <c r="P8" s="3"/>
    </row>
    <row r="9" spans="1:16" x14ac:dyDescent="0.25">
      <c r="A9" s="1" t="s">
        <v>48</v>
      </c>
      <c r="B9" s="6"/>
      <c r="C9" s="1"/>
      <c r="D9" s="1"/>
      <c r="E9" s="1"/>
      <c r="F9" s="1"/>
      <c r="G9" s="1"/>
      <c r="H9" s="1"/>
      <c r="I9" s="1"/>
      <c r="J9" s="1"/>
      <c r="K9" s="1"/>
      <c r="L9" s="1"/>
      <c r="M9" s="1"/>
      <c r="N9" s="1"/>
      <c r="O9" s="1"/>
      <c r="P9" s="1"/>
    </row>
    <row r="10" spans="1:16" ht="13.8" thickBot="1" x14ac:dyDescent="0.3">
      <c r="A10" s="3"/>
      <c r="B10" s="3"/>
      <c r="C10" s="3"/>
      <c r="D10" s="3"/>
      <c r="E10" s="3"/>
      <c r="F10" s="3"/>
      <c r="G10" s="3"/>
      <c r="H10" s="3"/>
      <c r="I10" s="3"/>
      <c r="J10" s="3"/>
      <c r="K10" s="3"/>
      <c r="L10" s="3"/>
      <c r="M10" s="3"/>
      <c r="N10" s="3"/>
      <c r="O10" s="3"/>
      <c r="P10" s="3"/>
    </row>
    <row r="11" spans="1:16" ht="13.8" thickBot="1" x14ac:dyDescent="0.3">
      <c r="A11" s="3"/>
      <c r="B11" s="3"/>
      <c r="C11" s="89" t="s">
        <v>43</v>
      </c>
      <c r="D11" s="89" t="s">
        <v>46</v>
      </c>
      <c r="E11" s="3"/>
      <c r="F11" s="3"/>
      <c r="G11" s="3"/>
      <c r="H11" s="3"/>
      <c r="I11" s="3"/>
      <c r="J11" s="3"/>
      <c r="K11" s="3"/>
      <c r="L11" s="3"/>
      <c r="M11" s="3"/>
      <c r="N11" s="3"/>
      <c r="O11" s="3"/>
      <c r="P11" s="3"/>
    </row>
    <row r="12" spans="1:16" ht="13.8" thickBot="1" x14ac:dyDescent="0.3">
      <c r="A12" s="3"/>
      <c r="B12" s="4" t="s">
        <v>49</v>
      </c>
      <c r="C12" s="57" cm="1">
        <f t="array" ref="C12">_xlfn.IFS(C7&lt;=1000000,1,C7&lt;=5000000,2,C7&lt;=25000000,3,C7&lt;=100000000,4,C7&lt;=500000000,5,C7&lt;=2000000000,6,C7&gt;2000000000,7)</f>
        <v>1</v>
      </c>
      <c r="D12" s="57" cm="1">
        <f t="array" ref="D12">_xlfn.IFS(D7&lt;=1000000,1,D7&lt;=5000000,2,D7&lt;=25000000,3,D7&lt;=100000000,4,D7&lt;=500000000,5,D7&lt;=2000000000,6,D7&gt;2000000000,7)</f>
        <v>1</v>
      </c>
      <c r="E12" s="5"/>
      <c r="F12" s="5"/>
      <c r="G12" s="3"/>
      <c r="H12" s="3"/>
      <c r="I12" s="3"/>
      <c r="J12" s="3"/>
      <c r="K12" s="3"/>
      <c r="L12" s="3"/>
      <c r="M12" s="3"/>
      <c r="N12" s="3"/>
      <c r="O12" s="3"/>
      <c r="P12" s="3"/>
    </row>
    <row r="13" spans="1:16" ht="13.8" thickBot="1" x14ac:dyDescent="0.3">
      <c r="A13" s="3"/>
      <c r="B13" s="3"/>
      <c r="C13" s="3"/>
      <c r="D13" s="3"/>
      <c r="E13" s="3"/>
      <c r="F13" s="3"/>
      <c r="G13" s="3"/>
      <c r="H13" s="3"/>
      <c r="I13" s="3"/>
      <c r="J13" s="3"/>
      <c r="K13" s="3"/>
      <c r="L13" s="3"/>
      <c r="M13" s="3"/>
      <c r="N13" s="3"/>
      <c r="O13" s="3"/>
      <c r="P13" s="3"/>
    </row>
    <row r="14" spans="1:16" ht="13.8" thickBot="1" x14ac:dyDescent="0.3">
      <c r="A14" s="3"/>
      <c r="B14" s="4" t="s">
        <v>50</v>
      </c>
      <c r="C14" s="57">
        <f>C54 + D59</f>
        <v>97</v>
      </c>
      <c r="D14" s="3"/>
      <c r="E14" s="3"/>
      <c r="F14" s="3"/>
      <c r="G14" s="3"/>
      <c r="H14" s="3"/>
      <c r="I14" s="3"/>
      <c r="J14" s="3"/>
      <c r="K14" s="3"/>
      <c r="L14" s="3"/>
      <c r="M14" s="3"/>
      <c r="N14" s="3"/>
      <c r="O14" s="3"/>
      <c r="P14" s="3"/>
    </row>
    <row r="15" spans="1:16" x14ac:dyDescent="0.25">
      <c r="A15" s="3"/>
      <c r="B15" s="3"/>
      <c r="C15" s="3"/>
      <c r="D15" s="3"/>
      <c r="E15" s="3"/>
      <c r="F15" s="3"/>
      <c r="G15" s="3"/>
      <c r="H15" s="3"/>
      <c r="I15" s="3"/>
      <c r="J15" s="3"/>
      <c r="K15" s="3"/>
      <c r="L15" s="3"/>
      <c r="M15" s="3"/>
      <c r="N15" s="3"/>
      <c r="O15" s="3"/>
      <c r="P15" s="3"/>
    </row>
    <row r="16" spans="1:16" x14ac:dyDescent="0.25">
      <c r="A16" s="7" t="s">
        <v>51</v>
      </c>
      <c r="B16" s="7"/>
      <c r="C16" s="7"/>
      <c r="D16" s="7"/>
      <c r="E16" s="7"/>
      <c r="F16" s="7"/>
      <c r="G16" s="7"/>
      <c r="H16" s="7"/>
      <c r="I16" s="7"/>
      <c r="J16" s="7"/>
      <c r="K16" s="7"/>
      <c r="L16" s="7"/>
      <c r="M16" s="7"/>
      <c r="N16" s="7"/>
      <c r="O16" s="7"/>
      <c r="P16" s="7"/>
    </row>
    <row r="17" spans="1:16" s="8" customFormat="1" ht="10.199999999999999" x14ac:dyDescent="0.25"/>
    <row r="18" spans="1:16" s="8" customFormat="1" ht="10.199999999999999" x14ac:dyDescent="0.25">
      <c r="A18" s="10" t="s">
        <v>53</v>
      </c>
      <c r="B18" s="11"/>
      <c r="C18" s="11"/>
      <c r="D18" s="11"/>
      <c r="E18" s="11"/>
      <c r="F18" s="11"/>
      <c r="G18" s="11"/>
      <c r="H18" s="11"/>
      <c r="I18" s="11"/>
      <c r="J18" s="11"/>
      <c r="K18" s="11"/>
      <c r="L18" s="11"/>
      <c r="M18" s="11"/>
      <c r="N18" s="11"/>
      <c r="O18" s="11"/>
      <c r="P18" s="11"/>
    </row>
    <row r="19" spans="1:16" s="8" customFormat="1" ht="10.199999999999999" x14ac:dyDescent="0.25"/>
    <row r="20" spans="1:16" s="8" customFormat="1" ht="10.199999999999999" x14ac:dyDescent="0.25">
      <c r="B20" s="8" t="s">
        <v>54</v>
      </c>
      <c r="C20" s="12" t="s">
        <v>49</v>
      </c>
      <c r="D20" s="12" t="s">
        <v>55</v>
      </c>
      <c r="E20" s="12" t="s">
        <v>56</v>
      </c>
    </row>
    <row r="21" spans="1:16" s="8" customFormat="1" ht="10.199999999999999" x14ac:dyDescent="0.25">
      <c r="B21" s="58">
        <f>'Basic Calculator'!B18</f>
        <v>0</v>
      </c>
      <c r="C21" s="91">
        <f>'Basic Calculator'!C18</f>
        <v>1</v>
      </c>
      <c r="D21" s="85">
        <f>'Basic Calculator'!D18</f>
        <v>0</v>
      </c>
      <c r="E21" s="85">
        <f>'Basic Calculator'!E18</f>
        <v>0</v>
      </c>
      <c r="H21" s="13"/>
    </row>
    <row r="22" spans="1:16" s="8" customFormat="1" ht="10.199999999999999" x14ac:dyDescent="0.25">
      <c r="B22" s="58">
        <f>'Basic Calculator'!B19</f>
        <v>1000000</v>
      </c>
      <c r="C22" s="91">
        <f>'Basic Calculator'!C19</f>
        <v>2</v>
      </c>
      <c r="D22" s="85">
        <f>'Basic Calculator'!D19</f>
        <v>660.56</v>
      </c>
      <c r="E22" s="85">
        <f>'Basic Calculator'!E19</f>
        <v>198.52</v>
      </c>
      <c r="H22" s="13"/>
    </row>
    <row r="23" spans="1:16" s="8" customFormat="1" ht="10.199999999999999" x14ac:dyDescent="0.25">
      <c r="B23" s="58">
        <f>'Basic Calculator'!B20</f>
        <v>5000000</v>
      </c>
      <c r="C23" s="91">
        <f>'Basic Calculator'!C20</f>
        <v>3</v>
      </c>
      <c r="D23" s="85">
        <f>'Basic Calculator'!D20</f>
        <v>1525.44</v>
      </c>
      <c r="E23" s="85">
        <f>'Basic Calculator'!E20</f>
        <v>458.56</v>
      </c>
      <c r="H23" s="13"/>
    </row>
    <row r="24" spans="1:16" s="8" customFormat="1" ht="10.199999999999999" x14ac:dyDescent="0.25">
      <c r="B24" s="58">
        <f>'Basic Calculator'!B21</f>
        <v>25000000</v>
      </c>
      <c r="C24" s="91">
        <f>'Basic Calculator'!C21</f>
        <v>4</v>
      </c>
      <c r="D24" s="85">
        <f>'Basic Calculator'!D21</f>
        <v>3326.02</v>
      </c>
      <c r="E24" s="85">
        <f>'Basic Calculator'!E21</f>
        <v>999.55</v>
      </c>
      <c r="H24" s="13"/>
    </row>
    <row r="25" spans="1:16" s="8" customFormat="1" ht="10.199999999999999" x14ac:dyDescent="0.25">
      <c r="B25" s="58">
        <f>'Basic Calculator'!B22</f>
        <v>100000000</v>
      </c>
      <c r="C25" s="91">
        <f>'Basic Calculator'!C22</f>
        <v>5</v>
      </c>
      <c r="D25" s="85">
        <f>'Basic Calculator'!D22</f>
        <v>6027.48</v>
      </c>
      <c r="E25" s="85">
        <f>'Basic Calculator'!E22</f>
        <v>1811.03</v>
      </c>
      <c r="H25" s="13"/>
    </row>
    <row r="26" spans="1:16" s="8" customFormat="1" ht="10.199999999999999" x14ac:dyDescent="0.25">
      <c r="B26" s="58">
        <f>'Basic Calculator'!B23</f>
        <v>500000000</v>
      </c>
      <c r="C26" s="91">
        <f>'Basic Calculator'!C23</f>
        <v>6</v>
      </c>
      <c r="D26" s="85">
        <f>'Basic Calculator'!D23</f>
        <v>14669.33</v>
      </c>
      <c r="E26" s="85">
        <f>'Basic Calculator'!E23</f>
        <v>4402.1899999999996</v>
      </c>
      <c r="H26" s="13"/>
    </row>
    <row r="27" spans="1:16" s="8" customFormat="1" ht="10.199999999999999" x14ac:dyDescent="0.25">
      <c r="B27" s="58">
        <f>'Basic Calculator'!B24</f>
        <v>2000000000</v>
      </c>
      <c r="C27" s="91">
        <f>'Basic Calculator'!C24</f>
        <v>7</v>
      </c>
      <c r="D27" s="85">
        <f>'Basic Calculator'!D24</f>
        <v>41678.050000000003</v>
      </c>
      <c r="E27" s="85">
        <f>'Basic Calculator'!E24</f>
        <v>12499.58</v>
      </c>
      <c r="H27" s="13"/>
    </row>
    <row r="28" spans="1:16" s="8" customFormat="1" ht="10.199999999999999" x14ac:dyDescent="0.25"/>
    <row r="29" spans="1:16" s="8" customFormat="1" ht="10.199999999999999" x14ac:dyDescent="0.25">
      <c r="D29" s="92" t="s">
        <v>43</v>
      </c>
      <c r="E29" s="92" t="s">
        <v>46</v>
      </c>
    </row>
    <row r="30" spans="1:16" s="8" customFormat="1" ht="10.199999999999999" x14ac:dyDescent="0.25">
      <c r="B30" s="8" t="s">
        <v>70</v>
      </c>
      <c r="D30" s="58" cm="1">
        <f t="array" ref="D30">IF(C12 &gt; 0, INDEX(Turnover_Bands_Min, C12), 0)</f>
        <v>0</v>
      </c>
      <c r="E30" s="58" cm="1">
        <f t="array" ref="E30">IF(D12 &gt; 0, INDEX(Turnover_Bands_Min, D12), 0)</f>
        <v>0</v>
      </c>
    </row>
    <row r="31" spans="1:16" s="8" customFormat="1" ht="10.199999999999999" x14ac:dyDescent="0.25">
      <c r="B31" s="8" t="s">
        <v>71</v>
      </c>
      <c r="D31" s="58">
        <f>IF(C12 &gt; 0, VLOOKUP(C12, Base_Costs_Lookup, 2), 0)</f>
        <v>0</v>
      </c>
      <c r="E31" s="58">
        <f>IF(D12 &gt; 0, VLOOKUP(D12, Base_Costs_Lookup, 3), 0)</f>
        <v>0</v>
      </c>
    </row>
    <row r="32" spans="1:16" s="8" customFormat="1" ht="10.199999999999999" x14ac:dyDescent="0.25"/>
    <row r="33" spans="1:16" s="8" customFormat="1" ht="10.199999999999999" x14ac:dyDescent="0.25">
      <c r="A33" s="10" t="s">
        <v>59</v>
      </c>
      <c r="B33" s="11"/>
      <c r="C33" s="11"/>
      <c r="D33" s="11"/>
      <c r="E33" s="11"/>
      <c r="F33" s="11"/>
      <c r="G33" s="11"/>
      <c r="H33" s="11"/>
      <c r="I33" s="11"/>
      <c r="J33" s="11"/>
      <c r="K33" s="11"/>
      <c r="L33" s="11"/>
      <c r="M33" s="11"/>
      <c r="N33" s="11"/>
      <c r="O33" s="11"/>
      <c r="P33" s="11"/>
    </row>
    <row r="34" spans="1:16" s="8" customFormat="1" ht="10.199999999999999" x14ac:dyDescent="0.25"/>
    <row r="35" spans="1:16" s="8" customFormat="1" ht="10.199999999999999" x14ac:dyDescent="0.25">
      <c r="B35" s="8" t="s">
        <v>54</v>
      </c>
      <c r="C35" s="12" t="s">
        <v>49</v>
      </c>
      <c r="D35" s="12" t="s">
        <v>55</v>
      </c>
      <c r="E35" s="12" t="s">
        <v>56</v>
      </c>
    </row>
    <row r="36" spans="1:16" s="8" customFormat="1" ht="10.199999999999999" x14ac:dyDescent="0.25">
      <c r="B36" s="58">
        <f>'Basic Calculator'!B32</f>
        <v>0</v>
      </c>
      <c r="C36" s="12">
        <f>'Basic Calculator'!C32</f>
        <v>1</v>
      </c>
      <c r="D36" s="59">
        <f>'Basic Calculator'!D32</f>
        <v>660.21</v>
      </c>
      <c r="E36" s="59">
        <f>'Basic Calculator'!E32</f>
        <v>198.06</v>
      </c>
    </row>
    <row r="37" spans="1:16" s="8" customFormat="1" ht="10.199999999999999" x14ac:dyDescent="0.25">
      <c r="B37" s="58">
        <f>'Basic Calculator'!B33</f>
        <v>1000000</v>
      </c>
      <c r="C37" s="12">
        <f>'Basic Calculator'!C33</f>
        <v>2</v>
      </c>
      <c r="D37" s="59">
        <f>'Basic Calculator'!D33</f>
        <v>216.07</v>
      </c>
      <c r="E37" s="59">
        <f>'Basic Calculator'!E33</f>
        <v>64.83</v>
      </c>
    </row>
    <row r="38" spans="1:16" s="8" customFormat="1" ht="10.199999999999999" x14ac:dyDescent="0.25">
      <c r="B38" s="58">
        <f>'Basic Calculator'!B34</f>
        <v>5000000</v>
      </c>
      <c r="C38" s="12">
        <f>'Basic Calculator'!C34</f>
        <v>3</v>
      </c>
      <c r="D38" s="59">
        <f>'Basic Calculator'!D34</f>
        <v>90.03</v>
      </c>
      <c r="E38" s="59">
        <f>'Basic Calculator'!E34</f>
        <v>27.01</v>
      </c>
    </row>
    <row r="39" spans="1:16" s="8" customFormat="1" ht="10.199999999999999" x14ac:dyDescent="0.25">
      <c r="B39" s="58">
        <f>'Basic Calculator'!B35</f>
        <v>25000000</v>
      </c>
      <c r="C39" s="12">
        <f>'Basic Calculator'!C35</f>
        <v>4</v>
      </c>
      <c r="D39" s="59">
        <f>'Basic Calculator'!D35</f>
        <v>36.01</v>
      </c>
      <c r="E39" s="59">
        <f>'Basic Calculator'!E35</f>
        <v>10.81</v>
      </c>
    </row>
    <row r="40" spans="1:16" s="8" customFormat="1" ht="10.199999999999999" x14ac:dyDescent="0.25">
      <c r="B40" s="58">
        <f>'Basic Calculator'!B36</f>
        <v>100000000</v>
      </c>
      <c r="C40" s="12">
        <f>'Basic Calculator'!C36</f>
        <v>5</v>
      </c>
      <c r="D40" s="59">
        <f>'Basic Calculator'!D36</f>
        <v>21.6</v>
      </c>
      <c r="E40" s="59">
        <f>'Basic Calculator'!E36</f>
        <v>6.48</v>
      </c>
    </row>
    <row r="41" spans="1:16" s="8" customFormat="1" ht="10.199999999999999" x14ac:dyDescent="0.25">
      <c r="B41" s="58">
        <f>'Basic Calculator'!B37</f>
        <v>500000000</v>
      </c>
      <c r="C41" s="12">
        <f>'Basic Calculator'!C37</f>
        <v>6</v>
      </c>
      <c r="D41" s="59">
        <f>'Basic Calculator'!D37</f>
        <v>18.010000000000002</v>
      </c>
      <c r="E41" s="59">
        <f>'Basic Calculator'!E37</f>
        <v>5.4</v>
      </c>
    </row>
    <row r="42" spans="1:16" s="8" customFormat="1" ht="10.199999999999999" x14ac:dyDescent="0.25">
      <c r="B42" s="58">
        <f>'Basic Calculator'!B38</f>
        <v>2000000000</v>
      </c>
      <c r="C42" s="12">
        <f>'Basic Calculator'!C38</f>
        <v>7</v>
      </c>
      <c r="D42" s="59">
        <f>'Basic Calculator'!D38</f>
        <v>15.01</v>
      </c>
      <c r="E42" s="59">
        <f>'Basic Calculator'!E38</f>
        <v>4.5</v>
      </c>
    </row>
    <row r="43" spans="1:16" s="8" customFormat="1" ht="10.199999999999999" x14ac:dyDescent="0.25"/>
    <row r="44" spans="1:16" s="8" customFormat="1" ht="10.199999999999999" x14ac:dyDescent="0.25">
      <c r="D44" s="93" t="s">
        <v>43</v>
      </c>
      <c r="E44" s="93" t="s">
        <v>46</v>
      </c>
    </row>
    <row r="45" spans="1:16" s="8" customFormat="1" ht="10.199999999999999" x14ac:dyDescent="0.25">
      <c r="B45" s="8" t="s">
        <v>60</v>
      </c>
      <c r="D45" s="59">
        <f>IF(C12 &gt; 0, VLOOKUP(C12, Variable_Costs_Lookup, 2), 0)</f>
        <v>660.21</v>
      </c>
      <c r="E45" s="59">
        <f>IF(D12 &gt; 0, VLOOKUP(D12, Variable_Costs_Lookup, 3), 0)</f>
        <v>198.06</v>
      </c>
    </row>
    <row r="46" spans="1:16" s="8" customFormat="1" ht="10.199999999999999" x14ac:dyDescent="0.25">
      <c r="B46" s="8" t="s">
        <v>61</v>
      </c>
      <c r="D46" s="58">
        <f>C7 - D30</f>
        <v>0</v>
      </c>
      <c r="E46" s="58">
        <f>D7 - E30</f>
        <v>0</v>
      </c>
    </row>
    <row r="47" spans="1:16" s="8" customFormat="1" ht="10.199999999999999" x14ac:dyDescent="0.25">
      <c r="B47" s="8" t="s">
        <v>62</v>
      </c>
      <c r="D47" s="58">
        <f>ROUNDUP(D46 / 1000000 * D45, 0)</f>
        <v>0</v>
      </c>
      <c r="E47" s="58">
        <f>ROUNDUP(E46 / 1000000 * E45, 0)</f>
        <v>0</v>
      </c>
    </row>
    <row r="48" spans="1:16" ht="10.35" customHeight="1" x14ac:dyDescent="0.25"/>
    <row r="49" spans="1:16" ht="10.35" customHeight="1" x14ac:dyDescent="0.25">
      <c r="A49" s="10" t="s">
        <v>72</v>
      </c>
      <c r="B49" s="11"/>
      <c r="C49" s="11"/>
      <c r="D49" s="11"/>
      <c r="E49" s="11"/>
      <c r="F49" s="11"/>
      <c r="G49" s="11"/>
      <c r="H49" s="11"/>
      <c r="I49" s="11"/>
      <c r="J49" s="11"/>
      <c r="K49" s="11"/>
      <c r="L49" s="11"/>
      <c r="M49" s="11"/>
      <c r="N49" s="11"/>
      <c r="O49" s="11"/>
      <c r="P49" s="11"/>
    </row>
    <row r="50" spans="1:16" ht="10.35" customHeight="1" x14ac:dyDescent="0.25"/>
    <row r="51" spans="1:16" ht="10.35" customHeight="1" x14ac:dyDescent="0.25">
      <c r="B51" s="8" t="s">
        <v>64</v>
      </c>
      <c r="C51" s="58">
        <f>Min_CoC_Fee</f>
        <v>97</v>
      </c>
    </row>
    <row r="52" spans="1:16" ht="10.35" customHeight="1" x14ac:dyDescent="0.25"/>
    <row r="53" spans="1:16" ht="10.35" customHeight="1" x14ac:dyDescent="0.25">
      <c r="C53" s="93" t="s">
        <v>73</v>
      </c>
      <c r="D53" s="93" t="s">
        <v>43</v>
      </c>
      <c r="E53" s="93" t="s">
        <v>46</v>
      </c>
    </row>
    <row r="54" spans="1:16" ht="10.35" customHeight="1" x14ac:dyDescent="0.25">
      <c r="B54" s="94" t="s">
        <v>50</v>
      </c>
      <c r="C54" s="95">
        <f>MAX(D54 + E54, Min_CoC_Fee)</f>
        <v>97</v>
      </c>
      <c r="D54" s="58">
        <f>D31 + D47</f>
        <v>0</v>
      </c>
      <c r="E54" s="58">
        <f>E31 + E47</f>
        <v>0</v>
      </c>
    </row>
    <row r="55" spans="1:16" ht="10.35" customHeight="1" x14ac:dyDescent="0.25"/>
    <row r="56" spans="1:16" ht="10.35" customHeight="1" x14ac:dyDescent="0.25">
      <c r="A56" s="10" t="s">
        <v>74</v>
      </c>
      <c r="B56" s="11"/>
      <c r="C56" s="11"/>
      <c r="D56" s="11"/>
      <c r="E56" s="11"/>
      <c r="F56" s="11"/>
      <c r="G56" s="11"/>
      <c r="H56" s="11"/>
      <c r="I56" s="11"/>
      <c r="J56" s="11"/>
      <c r="K56" s="11"/>
      <c r="L56" s="11"/>
      <c r="M56" s="11"/>
      <c r="N56" s="11"/>
      <c r="O56" s="11"/>
      <c r="P56" s="11"/>
    </row>
    <row r="57" spans="1:16" s="8" customFormat="1" ht="10.35" customHeight="1" x14ac:dyDescent="0.25"/>
    <row r="58" spans="1:16" s="8" customFormat="1" ht="10.35" customHeight="1" x14ac:dyDescent="0.25">
      <c r="D58" s="93" t="s">
        <v>75</v>
      </c>
    </row>
    <row r="59" spans="1:16" s="8" customFormat="1" ht="10.35" customHeight="1" x14ac:dyDescent="0.25">
      <c r="B59" s="8" t="s">
        <v>76</v>
      </c>
      <c r="C59" s="58">
        <f>Inflation!E14</f>
        <v>20</v>
      </c>
      <c r="D59" s="95">
        <f>C4 * C59</f>
        <v>0</v>
      </c>
    </row>
  </sheetData>
  <sheetProtection sheet="1"/>
  <pageMargins left="0.7" right="0.7" top="0.75" bottom="0.75" header="0.3" footer="0.3"/>
  <pageSetup paperSize="9" orientation="portrait" horizontalDpi="4294967293" verticalDpi="0"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D48A9-3AC7-437E-9859-73E84425B574}">
  <sheetPr>
    <tabColor theme="4"/>
  </sheetPr>
  <dimension ref="A1:M100"/>
  <sheetViews>
    <sheetView zoomScaleNormal="100" workbookViewId="0">
      <pane ySplit="1" topLeftCell="A31" activePane="bottomLeft" state="frozen"/>
      <selection pane="bottomLeft" activeCell="G31" sqref="G31"/>
    </sheetView>
  </sheetViews>
  <sheetFormatPr defaultRowHeight="13.8" x14ac:dyDescent="0.3"/>
  <cols>
    <col min="1" max="1" width="9" style="106"/>
    <col min="2" max="2" width="20.5546875" style="107" customWidth="1"/>
    <col min="3" max="3" width="9.33203125" style="108" bestFit="1" customWidth="1"/>
    <col min="4" max="4" width="9.88671875" style="17" bestFit="1" customWidth="1"/>
    <col min="5" max="5" width="11.109375" style="15" customWidth="1"/>
    <col min="6" max="6" width="14.5546875" style="15" customWidth="1"/>
    <col min="7" max="7" width="14.5546875" style="21" customWidth="1"/>
    <col min="8" max="8" width="16.33203125" style="21" customWidth="1"/>
    <col min="9" max="9" width="14.5546875" style="21" customWidth="1"/>
    <col min="10" max="10" width="12" style="22" customWidth="1"/>
    <col min="11" max="11" width="14.5546875" style="88" customWidth="1"/>
    <col min="13" max="13" width="39" bestFit="1" customWidth="1"/>
  </cols>
  <sheetData>
    <row r="1" spans="1:13" x14ac:dyDescent="0.3">
      <c r="A1" s="98" t="s">
        <v>77</v>
      </c>
      <c r="B1" s="99" t="s">
        <v>78</v>
      </c>
      <c r="C1" s="100" t="s">
        <v>79</v>
      </c>
      <c r="D1" s="16" t="s">
        <v>49</v>
      </c>
      <c r="E1" s="18" t="s">
        <v>80</v>
      </c>
      <c r="F1" s="19" t="s">
        <v>52</v>
      </c>
      <c r="G1" s="19" t="s">
        <v>81</v>
      </c>
      <c r="H1" s="19" t="s">
        <v>70</v>
      </c>
      <c r="I1" s="19" t="s">
        <v>82</v>
      </c>
      <c r="J1" s="20" t="s">
        <v>83</v>
      </c>
      <c r="K1" s="87" t="s">
        <v>84</v>
      </c>
      <c r="M1" s="60" t="s">
        <v>85</v>
      </c>
    </row>
    <row r="2" spans="1:13" x14ac:dyDescent="0.3">
      <c r="A2" s="101">
        <v>1</v>
      </c>
      <c r="B2" s="102">
        <v>100000</v>
      </c>
      <c r="C2" s="103" t="s">
        <v>46</v>
      </c>
      <c r="D2" s="23" cm="1">
        <f t="array" ref="D2">_xlfn.IFS(B2&lt;=1000000,1,B2&lt;=5000000,2,B2&lt;=25000000,3,B2&lt;=100000000,4,B2&lt;=500000000,5,B2&lt;=2000000000,6,B2&gt;2000000000,7)</f>
        <v>1</v>
      </c>
      <c r="E2" s="15">
        <f t="shared" ref="E2:E33" si="0">ROUNDUP(MAX(G2 + K2, Min_CoC_Fee),0)</f>
        <v>97</v>
      </c>
      <c r="F2" s="21">
        <f t="shared" ref="F2:F33" si="1">MATCH(C2, CoC_Cert_Types, 0) - 1</f>
        <v>2</v>
      </c>
      <c r="G2" s="21">
        <f t="shared" ref="G2:G33" si="2">IF($F2 &gt; 0, VLOOKUP($D2, Base_Costs_Lookup, $F2 + 1), 0)</f>
        <v>0</v>
      </c>
      <c r="H2" s="21" cm="1">
        <f t="array" ref="H2">IF($F2 &gt; 0, INDEX(Turnover_Bands_Min, $D2), 0)</f>
        <v>0</v>
      </c>
      <c r="I2" s="21">
        <f>IF($F2 &gt; 0, $B2 - $H2, 0)</f>
        <v>100000</v>
      </c>
      <c r="J2" s="22">
        <f t="shared" ref="J2:J33" si="3">IF($F2 &gt; 0, VLOOKUP($D2, Variable_Costs_Lookup, $F2 + 1), 0)</f>
        <v>198.06</v>
      </c>
      <c r="K2" s="88">
        <f>($I2 / 1000000 * $J2)</f>
        <v>19.806000000000001</v>
      </c>
      <c r="M2" s="61" t="s">
        <v>86</v>
      </c>
    </row>
    <row r="3" spans="1:13" x14ac:dyDescent="0.3">
      <c r="A3" s="104">
        <v>2</v>
      </c>
      <c r="B3" s="105">
        <v>200000</v>
      </c>
      <c r="C3" s="103" t="s">
        <v>46</v>
      </c>
      <c r="D3" s="23" cm="1">
        <f t="array" ref="D3">_xlfn.IFS(B3&lt;=1000000,1,B3&lt;=5000000,2,B3&lt;=25000000,3,B3&lt;=100000000,4,B3&lt;=500000000,5,B3&lt;=2000000000,6,B3&gt;2000000000,7)</f>
        <v>1</v>
      </c>
      <c r="E3" s="15">
        <f t="shared" si="0"/>
        <v>97</v>
      </c>
      <c r="F3" s="21">
        <f t="shared" si="1"/>
        <v>2</v>
      </c>
      <c r="G3" s="21">
        <f t="shared" si="2"/>
        <v>0</v>
      </c>
      <c r="H3" s="21" cm="1">
        <f t="array" ref="H3">INDEX(Turnover_Bands_Min, $D3)</f>
        <v>0</v>
      </c>
      <c r="I3" s="21">
        <f t="shared" ref="I3:I66" si="4">IF($F3 &gt; 0, $B3 - $H3, 0)</f>
        <v>200000</v>
      </c>
      <c r="J3" s="22">
        <f t="shared" si="3"/>
        <v>198.06</v>
      </c>
      <c r="K3" s="88">
        <f t="shared" ref="K3:K66" si="5">($I3 / 1000000 * $J3)</f>
        <v>39.612000000000002</v>
      </c>
      <c r="M3" s="61" t="s">
        <v>87</v>
      </c>
    </row>
    <row r="4" spans="1:13" x14ac:dyDescent="0.3">
      <c r="A4" s="104">
        <v>3</v>
      </c>
      <c r="B4" s="102">
        <v>300000</v>
      </c>
      <c r="C4" s="103" t="s">
        <v>46</v>
      </c>
      <c r="D4" s="23" cm="1">
        <f t="array" ref="D4">_xlfn.IFS(B4&lt;=1000000,1,B4&lt;=5000000,2,B4&lt;=25000000,3,B4&lt;=100000000,4,B4&lt;=500000000,5,B4&lt;=2000000000,6,B4&gt;2000000000,7)</f>
        <v>1</v>
      </c>
      <c r="E4" s="15">
        <f t="shared" si="0"/>
        <v>97</v>
      </c>
      <c r="F4" s="21">
        <f t="shared" si="1"/>
        <v>2</v>
      </c>
      <c r="G4" s="21">
        <f t="shared" si="2"/>
        <v>0</v>
      </c>
      <c r="H4" s="21" cm="1">
        <f t="array" ref="H4">INDEX(Turnover_Bands_Min, $D4)</f>
        <v>0</v>
      </c>
      <c r="I4" s="21">
        <f t="shared" si="4"/>
        <v>300000</v>
      </c>
      <c r="J4" s="22">
        <f t="shared" si="3"/>
        <v>198.06</v>
      </c>
      <c r="K4" s="88">
        <f t="shared" si="5"/>
        <v>59.417999999999999</v>
      </c>
    </row>
    <row r="5" spans="1:13" x14ac:dyDescent="0.3">
      <c r="A5" s="104">
        <v>4</v>
      </c>
      <c r="B5" s="105">
        <v>400000</v>
      </c>
      <c r="C5" s="103" t="s">
        <v>46</v>
      </c>
      <c r="D5" s="23" cm="1">
        <f t="array" ref="D5">_xlfn.IFS(B5&lt;=1000000,1,B5&lt;=5000000,2,B5&lt;=25000000,3,B5&lt;=100000000,4,B5&lt;=500000000,5,B5&lt;=2000000000,6,B5&gt;2000000000,7)</f>
        <v>1</v>
      </c>
      <c r="E5" s="15">
        <f t="shared" si="0"/>
        <v>97</v>
      </c>
      <c r="F5" s="21">
        <f t="shared" si="1"/>
        <v>2</v>
      </c>
      <c r="G5" s="21">
        <f t="shared" si="2"/>
        <v>0</v>
      </c>
      <c r="H5" s="21" cm="1">
        <f t="array" ref="H5">INDEX(Turnover_Bands_Min, $D5)</f>
        <v>0</v>
      </c>
      <c r="I5" s="21">
        <f t="shared" si="4"/>
        <v>400000</v>
      </c>
      <c r="J5" s="22">
        <f t="shared" si="3"/>
        <v>198.06</v>
      </c>
      <c r="K5" s="88">
        <f t="shared" si="5"/>
        <v>79.224000000000004</v>
      </c>
    </row>
    <row r="6" spans="1:13" x14ac:dyDescent="0.3">
      <c r="A6" s="104">
        <v>5</v>
      </c>
      <c r="B6" s="102">
        <v>500000</v>
      </c>
      <c r="C6" s="103" t="s">
        <v>46</v>
      </c>
      <c r="D6" s="23" cm="1">
        <f t="array" ref="D6">_xlfn.IFS(B6&lt;=1000000,1,B6&lt;=5000000,2,B6&lt;=25000000,3,B6&lt;=100000000,4,B6&lt;=500000000,5,B6&lt;=2000000000,6,B6&gt;2000000000,7)</f>
        <v>1</v>
      </c>
      <c r="E6" s="15">
        <f t="shared" si="0"/>
        <v>100</v>
      </c>
      <c r="F6" s="21">
        <f t="shared" si="1"/>
        <v>2</v>
      </c>
      <c r="G6" s="21">
        <f t="shared" si="2"/>
        <v>0</v>
      </c>
      <c r="H6" s="21" cm="1">
        <f t="array" ref="H6">INDEX(Turnover_Bands_Min, $D6)</f>
        <v>0</v>
      </c>
      <c r="I6" s="21">
        <f t="shared" si="4"/>
        <v>500000</v>
      </c>
      <c r="J6" s="22">
        <f t="shared" si="3"/>
        <v>198.06</v>
      </c>
      <c r="K6" s="88">
        <f t="shared" si="5"/>
        <v>99.03</v>
      </c>
    </row>
    <row r="7" spans="1:13" x14ac:dyDescent="0.3">
      <c r="A7" s="104">
        <v>6</v>
      </c>
      <c r="B7" s="105">
        <v>600000</v>
      </c>
      <c r="C7" s="103" t="s">
        <v>46</v>
      </c>
      <c r="D7" s="23" cm="1">
        <f t="array" ref="D7">_xlfn.IFS(B7&lt;=1000000,1,B7&lt;=5000000,2,B7&lt;=25000000,3,B7&lt;=100000000,4,B7&lt;=500000000,5,B7&lt;=2000000000,6,B7&gt;2000000000,7)</f>
        <v>1</v>
      </c>
      <c r="E7" s="15">
        <f t="shared" si="0"/>
        <v>119</v>
      </c>
      <c r="F7" s="21">
        <f t="shared" si="1"/>
        <v>2</v>
      </c>
      <c r="G7" s="21">
        <f t="shared" si="2"/>
        <v>0</v>
      </c>
      <c r="H7" s="21" cm="1">
        <f t="array" ref="H7">INDEX(Turnover_Bands_Min, $D7)</f>
        <v>0</v>
      </c>
      <c r="I7" s="21">
        <f t="shared" si="4"/>
        <v>600000</v>
      </c>
      <c r="J7" s="22">
        <f t="shared" si="3"/>
        <v>198.06</v>
      </c>
      <c r="K7" s="88">
        <f t="shared" si="5"/>
        <v>118.836</v>
      </c>
    </row>
    <row r="8" spans="1:13" x14ac:dyDescent="0.3">
      <c r="A8" s="104">
        <v>7</v>
      </c>
      <c r="B8" s="102">
        <v>700000</v>
      </c>
      <c r="C8" s="103" t="s">
        <v>46</v>
      </c>
      <c r="D8" s="23" cm="1">
        <f t="array" ref="D8">_xlfn.IFS(B8&lt;=1000000,1,B8&lt;=5000000,2,B8&lt;=25000000,3,B8&lt;=100000000,4,B8&lt;=500000000,5,B8&lt;=2000000000,6,B8&gt;2000000000,7)</f>
        <v>1</v>
      </c>
      <c r="E8" s="15">
        <f t="shared" si="0"/>
        <v>139</v>
      </c>
      <c r="F8" s="21">
        <f t="shared" si="1"/>
        <v>2</v>
      </c>
      <c r="G8" s="21">
        <f t="shared" si="2"/>
        <v>0</v>
      </c>
      <c r="H8" s="21" cm="1">
        <f t="array" ref="H8">INDEX(Turnover_Bands_Min, $D8)</f>
        <v>0</v>
      </c>
      <c r="I8" s="21">
        <f t="shared" si="4"/>
        <v>700000</v>
      </c>
      <c r="J8" s="22">
        <f t="shared" si="3"/>
        <v>198.06</v>
      </c>
      <c r="K8" s="88">
        <f t="shared" si="5"/>
        <v>138.642</v>
      </c>
    </row>
    <row r="9" spans="1:13" x14ac:dyDescent="0.3">
      <c r="A9" s="104">
        <v>8</v>
      </c>
      <c r="B9" s="105">
        <v>800000</v>
      </c>
      <c r="C9" s="103" t="s">
        <v>46</v>
      </c>
      <c r="D9" s="23" cm="1">
        <f t="array" ref="D9">_xlfn.IFS(B9&lt;=1000000,1,B9&lt;=5000000,2,B9&lt;=25000000,3,B9&lt;=100000000,4,B9&lt;=500000000,5,B9&lt;=2000000000,6,B9&gt;2000000000,7)</f>
        <v>1</v>
      </c>
      <c r="E9" s="15">
        <f t="shared" si="0"/>
        <v>159</v>
      </c>
      <c r="F9" s="21">
        <f t="shared" si="1"/>
        <v>2</v>
      </c>
      <c r="G9" s="21">
        <f t="shared" si="2"/>
        <v>0</v>
      </c>
      <c r="H9" s="21" cm="1">
        <f t="array" ref="H9">INDEX(Turnover_Bands_Min, $D9)</f>
        <v>0</v>
      </c>
      <c r="I9" s="21">
        <f t="shared" si="4"/>
        <v>800000</v>
      </c>
      <c r="J9" s="22">
        <f t="shared" si="3"/>
        <v>198.06</v>
      </c>
      <c r="K9" s="88">
        <f t="shared" si="5"/>
        <v>158.44800000000001</v>
      </c>
    </row>
    <row r="10" spans="1:13" x14ac:dyDescent="0.3">
      <c r="A10" s="104">
        <v>9</v>
      </c>
      <c r="B10" s="102">
        <v>900000</v>
      </c>
      <c r="C10" s="103" t="s">
        <v>46</v>
      </c>
      <c r="D10" s="23" cm="1">
        <f t="array" ref="D10">_xlfn.IFS(B10&lt;=1000000,1,B10&lt;=5000000,2,B10&lt;=25000000,3,B10&lt;=100000000,4,B10&lt;=500000000,5,B10&lt;=2000000000,6,B10&gt;2000000000,7)</f>
        <v>1</v>
      </c>
      <c r="E10" s="15">
        <f t="shared" si="0"/>
        <v>179</v>
      </c>
      <c r="F10" s="21">
        <f t="shared" si="1"/>
        <v>2</v>
      </c>
      <c r="G10" s="21">
        <f t="shared" si="2"/>
        <v>0</v>
      </c>
      <c r="H10" s="21" cm="1">
        <f t="array" ref="H10">INDEX(Turnover_Bands_Min, $D10)</f>
        <v>0</v>
      </c>
      <c r="I10" s="21">
        <f t="shared" si="4"/>
        <v>900000</v>
      </c>
      <c r="J10" s="22">
        <f t="shared" si="3"/>
        <v>198.06</v>
      </c>
      <c r="K10" s="88">
        <f t="shared" si="5"/>
        <v>178.25400000000002</v>
      </c>
    </row>
    <row r="11" spans="1:13" x14ac:dyDescent="0.3">
      <c r="A11" s="104">
        <v>10</v>
      </c>
      <c r="B11" s="105">
        <v>1000000</v>
      </c>
      <c r="C11" s="103" t="s">
        <v>46</v>
      </c>
      <c r="D11" s="23" cm="1">
        <f t="array" ref="D11">_xlfn.IFS(B11&lt;=1000000,1,B11&lt;=5000000,2,B11&lt;=25000000,3,B11&lt;=100000000,4,B11&lt;=500000000,5,B11&lt;=2000000000,6,B11&gt;2000000000,7)</f>
        <v>1</v>
      </c>
      <c r="E11" s="15">
        <f t="shared" si="0"/>
        <v>199</v>
      </c>
      <c r="F11" s="21">
        <f t="shared" si="1"/>
        <v>2</v>
      </c>
      <c r="G11" s="21">
        <f t="shared" si="2"/>
        <v>0</v>
      </c>
      <c r="H11" s="21" cm="1">
        <f t="array" ref="H11">INDEX(Turnover_Bands_Min, $D11)</f>
        <v>0</v>
      </c>
      <c r="I11" s="21">
        <f t="shared" si="4"/>
        <v>1000000</v>
      </c>
      <c r="J11" s="22">
        <f t="shared" si="3"/>
        <v>198.06</v>
      </c>
      <c r="K11" s="88">
        <f t="shared" si="5"/>
        <v>198.06</v>
      </c>
    </row>
    <row r="12" spans="1:13" x14ac:dyDescent="0.3">
      <c r="A12" s="104">
        <v>11</v>
      </c>
      <c r="B12" s="102">
        <v>1250000</v>
      </c>
      <c r="C12" s="103" t="s">
        <v>46</v>
      </c>
      <c r="D12" s="23" cm="1">
        <f t="array" ref="D12">_xlfn.IFS(B12&lt;=1000000,1,B12&lt;=5000000,2,B12&lt;=25000000,3,B12&lt;=100000000,4,B12&lt;=500000000,5,B12&lt;=2000000000,6,B12&gt;2000000000,7)</f>
        <v>2</v>
      </c>
      <c r="E12" s="15">
        <f t="shared" si="0"/>
        <v>215</v>
      </c>
      <c r="F12" s="21">
        <f t="shared" si="1"/>
        <v>2</v>
      </c>
      <c r="G12" s="21">
        <f t="shared" si="2"/>
        <v>198.52</v>
      </c>
      <c r="H12" s="21" cm="1">
        <f t="array" ref="H12">INDEX(Turnover_Bands_Min, $D12)</f>
        <v>1000000</v>
      </c>
      <c r="I12" s="21">
        <f t="shared" si="4"/>
        <v>250000</v>
      </c>
      <c r="J12" s="22">
        <f t="shared" si="3"/>
        <v>64.83</v>
      </c>
      <c r="K12" s="88">
        <f t="shared" si="5"/>
        <v>16.2075</v>
      </c>
    </row>
    <row r="13" spans="1:13" x14ac:dyDescent="0.3">
      <c r="A13" s="104">
        <v>12</v>
      </c>
      <c r="B13" s="105">
        <v>1500000</v>
      </c>
      <c r="C13" s="103" t="s">
        <v>46</v>
      </c>
      <c r="D13" s="23" cm="1">
        <f t="array" ref="D13">_xlfn.IFS(B13&lt;=1000000,1,B13&lt;=5000000,2,B13&lt;=25000000,3,B13&lt;=100000000,4,B13&lt;=500000000,5,B13&lt;=2000000000,6,B13&gt;2000000000,7)</f>
        <v>2</v>
      </c>
      <c r="E13" s="15">
        <f t="shared" si="0"/>
        <v>231</v>
      </c>
      <c r="F13" s="21">
        <f t="shared" si="1"/>
        <v>2</v>
      </c>
      <c r="G13" s="21">
        <f t="shared" si="2"/>
        <v>198.52</v>
      </c>
      <c r="H13" s="21" cm="1">
        <f t="array" ref="H13">INDEX(Turnover_Bands_Min, $D13)</f>
        <v>1000000</v>
      </c>
      <c r="I13" s="21">
        <f t="shared" si="4"/>
        <v>500000</v>
      </c>
      <c r="J13" s="22">
        <f t="shared" si="3"/>
        <v>64.83</v>
      </c>
      <c r="K13" s="88">
        <f t="shared" si="5"/>
        <v>32.414999999999999</v>
      </c>
    </row>
    <row r="14" spans="1:13" x14ac:dyDescent="0.3">
      <c r="A14" s="104">
        <v>13</v>
      </c>
      <c r="B14" s="102">
        <v>1750000</v>
      </c>
      <c r="C14" s="103" t="s">
        <v>46</v>
      </c>
      <c r="D14" s="23" cm="1">
        <f t="array" ref="D14">_xlfn.IFS(B14&lt;=1000000,1,B14&lt;=5000000,2,B14&lt;=25000000,3,B14&lt;=100000000,4,B14&lt;=500000000,5,B14&lt;=2000000000,6,B14&gt;2000000000,7)</f>
        <v>2</v>
      </c>
      <c r="E14" s="15">
        <f t="shared" si="0"/>
        <v>248</v>
      </c>
      <c r="F14" s="21">
        <f t="shared" si="1"/>
        <v>2</v>
      </c>
      <c r="G14" s="21">
        <f t="shared" si="2"/>
        <v>198.52</v>
      </c>
      <c r="H14" s="21" cm="1">
        <f t="array" ref="H14">INDEX(Turnover_Bands_Min, $D14)</f>
        <v>1000000</v>
      </c>
      <c r="I14" s="21">
        <f t="shared" si="4"/>
        <v>750000</v>
      </c>
      <c r="J14" s="22">
        <f t="shared" si="3"/>
        <v>64.83</v>
      </c>
      <c r="K14" s="88">
        <f t="shared" si="5"/>
        <v>48.622500000000002</v>
      </c>
    </row>
    <row r="15" spans="1:13" x14ac:dyDescent="0.3">
      <c r="A15" s="104">
        <v>14</v>
      </c>
      <c r="B15" s="105">
        <v>2000000</v>
      </c>
      <c r="C15" s="103" t="s">
        <v>46</v>
      </c>
      <c r="D15" s="23" cm="1">
        <f t="array" ref="D15">_xlfn.IFS(B15&lt;=1000000,1,B15&lt;=5000000,2,B15&lt;=25000000,3,B15&lt;=100000000,4,B15&lt;=500000000,5,B15&lt;=2000000000,6,B15&gt;2000000000,7)</f>
        <v>2</v>
      </c>
      <c r="E15" s="15">
        <f t="shared" si="0"/>
        <v>264</v>
      </c>
      <c r="F15" s="21">
        <f t="shared" si="1"/>
        <v>2</v>
      </c>
      <c r="G15" s="21">
        <f t="shared" si="2"/>
        <v>198.52</v>
      </c>
      <c r="H15" s="21" cm="1">
        <f t="array" ref="H15">INDEX(Turnover_Bands_Min, $D15)</f>
        <v>1000000</v>
      </c>
      <c r="I15" s="21">
        <f t="shared" si="4"/>
        <v>1000000</v>
      </c>
      <c r="J15" s="22">
        <f t="shared" si="3"/>
        <v>64.83</v>
      </c>
      <c r="K15" s="88">
        <f t="shared" si="5"/>
        <v>64.83</v>
      </c>
    </row>
    <row r="16" spans="1:13" x14ac:dyDescent="0.3">
      <c r="A16" s="104">
        <v>15</v>
      </c>
      <c r="B16" s="102">
        <v>2250000</v>
      </c>
      <c r="C16" s="103" t="s">
        <v>46</v>
      </c>
      <c r="D16" s="23" cm="1">
        <f t="array" ref="D16">_xlfn.IFS(B16&lt;=1000000,1,B16&lt;=5000000,2,B16&lt;=25000000,3,B16&lt;=100000000,4,B16&lt;=500000000,5,B16&lt;=2000000000,6,B16&gt;2000000000,7)</f>
        <v>2</v>
      </c>
      <c r="E16" s="15">
        <f t="shared" si="0"/>
        <v>280</v>
      </c>
      <c r="F16" s="21">
        <f t="shared" si="1"/>
        <v>2</v>
      </c>
      <c r="G16" s="21">
        <f t="shared" si="2"/>
        <v>198.52</v>
      </c>
      <c r="H16" s="21" cm="1">
        <f t="array" ref="H16">INDEX(Turnover_Bands_Min, $D16)</f>
        <v>1000000</v>
      </c>
      <c r="I16" s="21">
        <f t="shared" si="4"/>
        <v>1250000</v>
      </c>
      <c r="J16" s="22">
        <f t="shared" si="3"/>
        <v>64.83</v>
      </c>
      <c r="K16" s="88">
        <f t="shared" si="5"/>
        <v>81.037499999999994</v>
      </c>
    </row>
    <row r="17" spans="1:11" x14ac:dyDescent="0.3">
      <c r="A17" s="104">
        <v>16</v>
      </c>
      <c r="B17" s="105">
        <v>2500000</v>
      </c>
      <c r="C17" s="103" t="s">
        <v>46</v>
      </c>
      <c r="D17" s="23" cm="1">
        <f t="array" ref="D17">_xlfn.IFS(B17&lt;=1000000,1,B17&lt;=5000000,2,B17&lt;=25000000,3,B17&lt;=100000000,4,B17&lt;=500000000,5,B17&lt;=2000000000,6,B17&gt;2000000000,7)</f>
        <v>2</v>
      </c>
      <c r="E17" s="15">
        <f t="shared" si="0"/>
        <v>296</v>
      </c>
      <c r="F17" s="21">
        <f t="shared" si="1"/>
        <v>2</v>
      </c>
      <c r="G17" s="21">
        <f t="shared" si="2"/>
        <v>198.52</v>
      </c>
      <c r="H17" s="21" cm="1">
        <f t="array" ref="H17">INDEX(Turnover_Bands_Min, $D17)</f>
        <v>1000000</v>
      </c>
      <c r="I17" s="21">
        <f t="shared" si="4"/>
        <v>1500000</v>
      </c>
      <c r="J17" s="22">
        <f t="shared" si="3"/>
        <v>64.83</v>
      </c>
      <c r="K17" s="88">
        <f t="shared" si="5"/>
        <v>97.245000000000005</v>
      </c>
    </row>
    <row r="18" spans="1:11" x14ac:dyDescent="0.3">
      <c r="A18" s="104">
        <v>17</v>
      </c>
      <c r="B18" s="102">
        <v>2750000</v>
      </c>
      <c r="C18" s="103" t="s">
        <v>46</v>
      </c>
      <c r="D18" s="23" cm="1">
        <f t="array" ref="D18">_xlfn.IFS(B18&lt;=1000000,1,B18&lt;=5000000,2,B18&lt;=25000000,3,B18&lt;=100000000,4,B18&lt;=500000000,5,B18&lt;=2000000000,6,B18&gt;2000000000,7)</f>
        <v>2</v>
      </c>
      <c r="E18" s="15">
        <f t="shared" si="0"/>
        <v>312</v>
      </c>
      <c r="F18" s="21">
        <f t="shared" si="1"/>
        <v>2</v>
      </c>
      <c r="G18" s="21">
        <f t="shared" si="2"/>
        <v>198.52</v>
      </c>
      <c r="H18" s="21" cm="1">
        <f t="array" ref="H18">INDEX(Turnover_Bands_Min, $D18)</f>
        <v>1000000</v>
      </c>
      <c r="I18" s="21">
        <f t="shared" si="4"/>
        <v>1750000</v>
      </c>
      <c r="J18" s="22">
        <f t="shared" si="3"/>
        <v>64.83</v>
      </c>
      <c r="K18" s="88">
        <f t="shared" si="5"/>
        <v>113.4525</v>
      </c>
    </row>
    <row r="19" spans="1:11" x14ac:dyDescent="0.3">
      <c r="A19" s="104">
        <v>18</v>
      </c>
      <c r="B19" s="105">
        <v>3000000</v>
      </c>
      <c r="C19" s="103" t="s">
        <v>46</v>
      </c>
      <c r="D19" s="23" cm="1">
        <f t="array" ref="D19">_xlfn.IFS(B19&lt;=1000000,1,B19&lt;=5000000,2,B19&lt;=25000000,3,B19&lt;=100000000,4,B19&lt;=500000000,5,B19&lt;=2000000000,6,B19&gt;2000000000,7)</f>
        <v>2</v>
      </c>
      <c r="E19" s="15">
        <f t="shared" si="0"/>
        <v>329</v>
      </c>
      <c r="F19" s="21">
        <f t="shared" si="1"/>
        <v>2</v>
      </c>
      <c r="G19" s="21">
        <f t="shared" si="2"/>
        <v>198.52</v>
      </c>
      <c r="H19" s="21" cm="1">
        <f t="array" ref="H19">INDEX(Turnover_Bands_Min, $D19)</f>
        <v>1000000</v>
      </c>
      <c r="I19" s="21">
        <f t="shared" si="4"/>
        <v>2000000</v>
      </c>
      <c r="J19" s="22">
        <f t="shared" si="3"/>
        <v>64.83</v>
      </c>
      <c r="K19" s="88">
        <f t="shared" si="5"/>
        <v>129.66</v>
      </c>
    </row>
    <row r="20" spans="1:11" x14ac:dyDescent="0.3">
      <c r="A20" s="104">
        <v>19</v>
      </c>
      <c r="B20" s="102">
        <v>3250000</v>
      </c>
      <c r="C20" s="103" t="s">
        <v>46</v>
      </c>
      <c r="D20" s="23" cm="1">
        <f t="array" ref="D20">_xlfn.IFS(B20&lt;=1000000,1,B20&lt;=5000000,2,B20&lt;=25000000,3,B20&lt;=100000000,4,B20&lt;=500000000,5,B20&lt;=2000000000,6,B20&gt;2000000000,7)</f>
        <v>2</v>
      </c>
      <c r="E20" s="15">
        <f t="shared" si="0"/>
        <v>345</v>
      </c>
      <c r="F20" s="21">
        <f t="shared" si="1"/>
        <v>2</v>
      </c>
      <c r="G20" s="21">
        <f t="shared" si="2"/>
        <v>198.52</v>
      </c>
      <c r="H20" s="21" cm="1">
        <f t="array" ref="H20">INDEX(Turnover_Bands_Min, $D20)</f>
        <v>1000000</v>
      </c>
      <c r="I20" s="21">
        <f t="shared" si="4"/>
        <v>2250000</v>
      </c>
      <c r="J20" s="22">
        <f t="shared" si="3"/>
        <v>64.83</v>
      </c>
      <c r="K20" s="88">
        <f t="shared" si="5"/>
        <v>145.86750000000001</v>
      </c>
    </row>
    <row r="21" spans="1:11" x14ac:dyDescent="0.3">
      <c r="A21" s="104">
        <v>20</v>
      </c>
      <c r="B21" s="105">
        <v>3500000</v>
      </c>
      <c r="C21" s="103" t="s">
        <v>46</v>
      </c>
      <c r="D21" s="23" cm="1">
        <f t="array" ref="D21">_xlfn.IFS(B21&lt;=1000000,1,B21&lt;=5000000,2,B21&lt;=25000000,3,B21&lt;=100000000,4,B21&lt;=500000000,5,B21&lt;=2000000000,6,B21&gt;2000000000,7)</f>
        <v>2</v>
      </c>
      <c r="E21" s="15">
        <f t="shared" si="0"/>
        <v>361</v>
      </c>
      <c r="F21" s="21">
        <f t="shared" si="1"/>
        <v>2</v>
      </c>
      <c r="G21" s="21">
        <f t="shared" si="2"/>
        <v>198.52</v>
      </c>
      <c r="H21" s="21" cm="1">
        <f t="array" ref="H21">INDEX(Turnover_Bands_Min, $D21)</f>
        <v>1000000</v>
      </c>
      <c r="I21" s="21">
        <f t="shared" si="4"/>
        <v>2500000</v>
      </c>
      <c r="J21" s="22">
        <f t="shared" si="3"/>
        <v>64.83</v>
      </c>
      <c r="K21" s="88">
        <f t="shared" si="5"/>
        <v>162.07499999999999</v>
      </c>
    </row>
    <row r="22" spans="1:11" x14ac:dyDescent="0.3">
      <c r="A22" s="104">
        <v>21</v>
      </c>
      <c r="B22" s="102">
        <v>3750000</v>
      </c>
      <c r="C22" s="103" t="s">
        <v>46</v>
      </c>
      <c r="D22" s="23" cm="1">
        <f t="array" ref="D22">_xlfn.IFS(B22&lt;=1000000,1,B22&lt;=5000000,2,B22&lt;=25000000,3,B22&lt;=100000000,4,B22&lt;=500000000,5,B22&lt;=2000000000,6,B22&gt;2000000000,7)</f>
        <v>2</v>
      </c>
      <c r="E22" s="15">
        <f t="shared" si="0"/>
        <v>377</v>
      </c>
      <c r="F22" s="21">
        <f t="shared" si="1"/>
        <v>2</v>
      </c>
      <c r="G22" s="21">
        <f t="shared" si="2"/>
        <v>198.52</v>
      </c>
      <c r="H22" s="21" cm="1">
        <f t="array" ref="H22">INDEX(Turnover_Bands_Min, $D22)</f>
        <v>1000000</v>
      </c>
      <c r="I22" s="21">
        <f t="shared" si="4"/>
        <v>2750000</v>
      </c>
      <c r="J22" s="22">
        <f t="shared" si="3"/>
        <v>64.83</v>
      </c>
      <c r="K22" s="88">
        <f t="shared" si="5"/>
        <v>178.2825</v>
      </c>
    </row>
    <row r="23" spans="1:11" x14ac:dyDescent="0.3">
      <c r="A23" s="104">
        <v>22</v>
      </c>
      <c r="B23" s="105">
        <v>4000000</v>
      </c>
      <c r="C23" s="103" t="s">
        <v>46</v>
      </c>
      <c r="D23" s="23" cm="1">
        <f t="array" ref="D23">_xlfn.IFS(B23&lt;=1000000,1,B23&lt;=5000000,2,B23&lt;=25000000,3,B23&lt;=100000000,4,B23&lt;=500000000,5,B23&lt;=2000000000,6,B23&gt;2000000000,7)</f>
        <v>2</v>
      </c>
      <c r="E23" s="15">
        <f t="shared" si="0"/>
        <v>394</v>
      </c>
      <c r="F23" s="21">
        <f t="shared" si="1"/>
        <v>2</v>
      </c>
      <c r="G23" s="21">
        <f t="shared" si="2"/>
        <v>198.52</v>
      </c>
      <c r="H23" s="21" cm="1">
        <f t="array" ref="H23">INDEX(Turnover_Bands_Min, $D23)</f>
        <v>1000000</v>
      </c>
      <c r="I23" s="21">
        <f t="shared" si="4"/>
        <v>3000000</v>
      </c>
      <c r="J23" s="22">
        <f t="shared" si="3"/>
        <v>64.83</v>
      </c>
      <c r="K23" s="88">
        <f t="shared" si="5"/>
        <v>194.49</v>
      </c>
    </row>
    <row r="24" spans="1:11" x14ac:dyDescent="0.3">
      <c r="A24" s="104">
        <v>23</v>
      </c>
      <c r="B24" s="102">
        <v>4250000</v>
      </c>
      <c r="C24" s="103" t="s">
        <v>46</v>
      </c>
      <c r="D24" s="23" cm="1">
        <f t="array" ref="D24">_xlfn.IFS(B24&lt;=1000000,1,B24&lt;=5000000,2,B24&lt;=25000000,3,B24&lt;=100000000,4,B24&lt;=500000000,5,B24&lt;=2000000000,6,B24&gt;2000000000,7)</f>
        <v>2</v>
      </c>
      <c r="E24" s="15">
        <f t="shared" si="0"/>
        <v>410</v>
      </c>
      <c r="F24" s="21">
        <f t="shared" si="1"/>
        <v>2</v>
      </c>
      <c r="G24" s="21">
        <f t="shared" si="2"/>
        <v>198.52</v>
      </c>
      <c r="H24" s="21" cm="1">
        <f t="array" ref="H24">INDEX(Turnover_Bands_Min, $D24)</f>
        <v>1000000</v>
      </c>
      <c r="I24" s="21">
        <f t="shared" si="4"/>
        <v>3250000</v>
      </c>
      <c r="J24" s="22">
        <f t="shared" si="3"/>
        <v>64.83</v>
      </c>
      <c r="K24" s="88">
        <f t="shared" si="5"/>
        <v>210.69749999999999</v>
      </c>
    </row>
    <row r="25" spans="1:11" x14ac:dyDescent="0.3">
      <c r="A25" s="104">
        <v>24</v>
      </c>
      <c r="B25" s="105">
        <v>4500000</v>
      </c>
      <c r="C25" s="103" t="s">
        <v>46</v>
      </c>
      <c r="D25" s="23" cm="1">
        <f t="array" ref="D25">_xlfn.IFS(B25&lt;=1000000,1,B25&lt;=5000000,2,B25&lt;=25000000,3,B25&lt;=100000000,4,B25&lt;=500000000,5,B25&lt;=2000000000,6,B25&gt;2000000000,7)</f>
        <v>2</v>
      </c>
      <c r="E25" s="15">
        <f t="shared" si="0"/>
        <v>426</v>
      </c>
      <c r="F25" s="21">
        <f t="shared" si="1"/>
        <v>2</v>
      </c>
      <c r="G25" s="21">
        <f t="shared" si="2"/>
        <v>198.52</v>
      </c>
      <c r="H25" s="21" cm="1">
        <f t="array" ref="H25">INDEX(Turnover_Bands_Min, $D25)</f>
        <v>1000000</v>
      </c>
      <c r="I25" s="21">
        <f t="shared" si="4"/>
        <v>3500000</v>
      </c>
      <c r="J25" s="22">
        <f t="shared" si="3"/>
        <v>64.83</v>
      </c>
      <c r="K25" s="88">
        <f t="shared" si="5"/>
        <v>226.905</v>
      </c>
    </row>
    <row r="26" spans="1:11" x14ac:dyDescent="0.3">
      <c r="A26" s="104">
        <v>25</v>
      </c>
      <c r="B26" s="102">
        <v>4750000</v>
      </c>
      <c r="C26" s="103" t="s">
        <v>46</v>
      </c>
      <c r="D26" s="23" cm="1">
        <f t="array" ref="D26">_xlfn.IFS(B26&lt;=1000000,1,B26&lt;=5000000,2,B26&lt;=25000000,3,B26&lt;=100000000,4,B26&lt;=500000000,5,B26&lt;=2000000000,6,B26&gt;2000000000,7)</f>
        <v>2</v>
      </c>
      <c r="E26" s="15">
        <f t="shared" si="0"/>
        <v>442</v>
      </c>
      <c r="F26" s="21">
        <f t="shared" si="1"/>
        <v>2</v>
      </c>
      <c r="G26" s="21">
        <f t="shared" si="2"/>
        <v>198.52</v>
      </c>
      <c r="H26" s="21" cm="1">
        <f t="array" ref="H26">INDEX(Turnover_Bands_Min, $D26)</f>
        <v>1000000</v>
      </c>
      <c r="I26" s="21">
        <f t="shared" si="4"/>
        <v>3750000</v>
      </c>
      <c r="J26" s="22">
        <f t="shared" si="3"/>
        <v>64.83</v>
      </c>
      <c r="K26" s="88">
        <f t="shared" si="5"/>
        <v>243.11249999999998</v>
      </c>
    </row>
    <row r="27" spans="1:11" x14ac:dyDescent="0.3">
      <c r="A27" s="104">
        <v>26</v>
      </c>
      <c r="B27" s="105">
        <v>5000000</v>
      </c>
      <c r="C27" s="103" t="s">
        <v>46</v>
      </c>
      <c r="D27" s="23" cm="1">
        <f t="array" ref="D27">_xlfn.IFS(B27&lt;=1000000,1,B27&lt;=5000000,2,B27&lt;=25000000,3,B27&lt;=100000000,4,B27&lt;=500000000,5,B27&lt;=2000000000,6,B27&gt;2000000000,7)</f>
        <v>2</v>
      </c>
      <c r="E27" s="15">
        <f t="shared" si="0"/>
        <v>458</v>
      </c>
      <c r="F27" s="21">
        <f t="shared" si="1"/>
        <v>2</v>
      </c>
      <c r="G27" s="21">
        <f t="shared" si="2"/>
        <v>198.52</v>
      </c>
      <c r="H27" s="21" cm="1">
        <f t="array" ref="H27">INDEX(Turnover_Bands_Min, $D27)</f>
        <v>1000000</v>
      </c>
      <c r="I27" s="21">
        <f t="shared" si="4"/>
        <v>4000000</v>
      </c>
      <c r="J27" s="22">
        <f t="shared" si="3"/>
        <v>64.83</v>
      </c>
      <c r="K27" s="88">
        <f t="shared" si="5"/>
        <v>259.32</v>
      </c>
    </row>
    <row r="28" spans="1:11" x14ac:dyDescent="0.3">
      <c r="A28" s="104">
        <v>27</v>
      </c>
      <c r="B28" s="102">
        <v>5500000</v>
      </c>
      <c r="C28" s="103" t="s">
        <v>46</v>
      </c>
      <c r="D28" s="23" cm="1">
        <f t="array" ref="D28">_xlfn.IFS(B28&lt;=1000000,1,B28&lt;=5000000,2,B28&lt;=25000000,3,B28&lt;=100000000,4,B28&lt;=500000000,5,B28&lt;=2000000000,6,B28&gt;2000000000,7)</f>
        <v>3</v>
      </c>
      <c r="E28" s="15">
        <f t="shared" si="0"/>
        <v>473</v>
      </c>
      <c r="F28" s="21">
        <f t="shared" si="1"/>
        <v>2</v>
      </c>
      <c r="G28" s="21">
        <f t="shared" si="2"/>
        <v>458.56</v>
      </c>
      <c r="H28" s="21" cm="1">
        <f t="array" ref="H28">INDEX(Turnover_Bands_Min, $D28)</f>
        <v>5000000</v>
      </c>
      <c r="I28" s="21">
        <f t="shared" si="4"/>
        <v>500000</v>
      </c>
      <c r="J28" s="22">
        <f t="shared" si="3"/>
        <v>27.01</v>
      </c>
      <c r="K28" s="88">
        <f t="shared" si="5"/>
        <v>13.505000000000001</v>
      </c>
    </row>
    <row r="29" spans="1:11" x14ac:dyDescent="0.3">
      <c r="A29" s="104">
        <v>28</v>
      </c>
      <c r="B29" s="105">
        <v>6000000</v>
      </c>
      <c r="C29" s="103" t="s">
        <v>46</v>
      </c>
      <c r="D29" s="23" cm="1">
        <f t="array" ref="D29">_xlfn.IFS(B29&lt;=1000000,1,B29&lt;=5000000,2,B29&lt;=25000000,3,B29&lt;=100000000,4,B29&lt;=500000000,5,B29&lt;=2000000000,6,B29&gt;2000000000,7)</f>
        <v>3</v>
      </c>
      <c r="E29" s="15">
        <f t="shared" si="0"/>
        <v>486</v>
      </c>
      <c r="F29" s="21">
        <f t="shared" si="1"/>
        <v>2</v>
      </c>
      <c r="G29" s="21">
        <f t="shared" si="2"/>
        <v>458.56</v>
      </c>
      <c r="H29" s="21" cm="1">
        <f t="array" ref="H29">INDEX(Turnover_Bands_Min, $D29)</f>
        <v>5000000</v>
      </c>
      <c r="I29" s="21">
        <f t="shared" si="4"/>
        <v>1000000</v>
      </c>
      <c r="J29" s="22">
        <f t="shared" si="3"/>
        <v>27.01</v>
      </c>
      <c r="K29" s="88">
        <f t="shared" si="5"/>
        <v>27.01</v>
      </c>
    </row>
    <row r="30" spans="1:11" x14ac:dyDescent="0.3">
      <c r="A30" s="104">
        <v>29</v>
      </c>
      <c r="B30" s="105">
        <v>6500000</v>
      </c>
      <c r="C30" s="103" t="s">
        <v>46</v>
      </c>
      <c r="D30" s="23" cm="1">
        <f t="array" ref="D30">_xlfn.IFS(B30&lt;=1000000,1,B30&lt;=5000000,2,B30&lt;=25000000,3,B30&lt;=100000000,4,B30&lt;=500000000,5,B30&lt;=2000000000,6,B30&gt;2000000000,7)</f>
        <v>3</v>
      </c>
      <c r="E30" s="15">
        <f t="shared" si="0"/>
        <v>500</v>
      </c>
      <c r="F30" s="21">
        <f t="shared" si="1"/>
        <v>2</v>
      </c>
      <c r="G30" s="21">
        <f t="shared" si="2"/>
        <v>458.56</v>
      </c>
      <c r="H30" s="21" cm="1">
        <f t="array" ref="H30">INDEX(Turnover_Bands_Min, $D30)</f>
        <v>5000000</v>
      </c>
      <c r="I30" s="21">
        <f t="shared" si="4"/>
        <v>1500000</v>
      </c>
      <c r="J30" s="22">
        <f t="shared" si="3"/>
        <v>27.01</v>
      </c>
      <c r="K30" s="88">
        <f t="shared" si="5"/>
        <v>40.515000000000001</v>
      </c>
    </row>
    <row r="31" spans="1:11" x14ac:dyDescent="0.3">
      <c r="A31" s="104">
        <v>30</v>
      </c>
      <c r="B31" s="102">
        <v>7000000</v>
      </c>
      <c r="C31" s="103" t="s">
        <v>46</v>
      </c>
      <c r="D31" s="23" cm="1">
        <f t="array" ref="D31">_xlfn.IFS(B31&lt;=1000000,1,B31&lt;=5000000,2,B31&lt;=25000000,3,B31&lt;=100000000,4,B31&lt;=500000000,5,B31&lt;=2000000000,6,B31&gt;2000000000,7)</f>
        <v>3</v>
      </c>
      <c r="E31" s="15">
        <f t="shared" si="0"/>
        <v>513</v>
      </c>
      <c r="F31" s="21">
        <f t="shared" si="1"/>
        <v>2</v>
      </c>
      <c r="G31" s="21">
        <f t="shared" si="2"/>
        <v>458.56</v>
      </c>
      <c r="H31" s="21" cm="1">
        <f t="array" ref="H31">INDEX(Turnover_Bands_Min, $D31)</f>
        <v>5000000</v>
      </c>
      <c r="I31" s="21">
        <f t="shared" si="4"/>
        <v>2000000</v>
      </c>
      <c r="J31" s="22">
        <f t="shared" si="3"/>
        <v>27.01</v>
      </c>
      <c r="K31" s="88">
        <f t="shared" si="5"/>
        <v>54.02</v>
      </c>
    </row>
    <row r="32" spans="1:11" x14ac:dyDescent="0.3">
      <c r="A32" s="104">
        <v>31</v>
      </c>
      <c r="B32" s="105">
        <v>7500000</v>
      </c>
      <c r="C32" s="103" t="s">
        <v>46</v>
      </c>
      <c r="D32" s="23" cm="1">
        <f t="array" ref="D32">_xlfn.IFS(B32&lt;=1000000,1,B32&lt;=5000000,2,B32&lt;=25000000,3,B32&lt;=100000000,4,B32&lt;=500000000,5,B32&lt;=2000000000,6,B32&gt;2000000000,7)</f>
        <v>3</v>
      </c>
      <c r="E32" s="15">
        <f t="shared" si="0"/>
        <v>527</v>
      </c>
      <c r="F32" s="21">
        <f t="shared" si="1"/>
        <v>2</v>
      </c>
      <c r="G32" s="21">
        <f t="shared" si="2"/>
        <v>458.56</v>
      </c>
      <c r="H32" s="21" cm="1">
        <f t="array" ref="H32">INDEX(Turnover_Bands_Min, $D32)</f>
        <v>5000000</v>
      </c>
      <c r="I32" s="21">
        <f t="shared" si="4"/>
        <v>2500000</v>
      </c>
      <c r="J32" s="22">
        <f t="shared" si="3"/>
        <v>27.01</v>
      </c>
      <c r="K32" s="88">
        <f t="shared" si="5"/>
        <v>67.525000000000006</v>
      </c>
    </row>
    <row r="33" spans="1:11" x14ac:dyDescent="0.3">
      <c r="A33" s="104">
        <v>32</v>
      </c>
      <c r="B33" s="105">
        <v>8000000</v>
      </c>
      <c r="C33" s="103" t="s">
        <v>46</v>
      </c>
      <c r="D33" s="23" cm="1">
        <f t="array" ref="D33">_xlfn.IFS(B33&lt;=1000000,1,B33&lt;=5000000,2,B33&lt;=25000000,3,B33&lt;=100000000,4,B33&lt;=500000000,5,B33&lt;=2000000000,6,B33&gt;2000000000,7)</f>
        <v>3</v>
      </c>
      <c r="E33" s="15">
        <f t="shared" si="0"/>
        <v>540</v>
      </c>
      <c r="F33" s="21">
        <f t="shared" si="1"/>
        <v>2</v>
      </c>
      <c r="G33" s="21">
        <f t="shared" si="2"/>
        <v>458.56</v>
      </c>
      <c r="H33" s="21" cm="1">
        <f t="array" ref="H33">INDEX(Turnover_Bands_Min, $D33)</f>
        <v>5000000</v>
      </c>
      <c r="I33" s="21">
        <f t="shared" si="4"/>
        <v>3000000</v>
      </c>
      <c r="J33" s="22">
        <f t="shared" si="3"/>
        <v>27.01</v>
      </c>
      <c r="K33" s="88">
        <f t="shared" si="5"/>
        <v>81.03</v>
      </c>
    </row>
    <row r="34" spans="1:11" x14ac:dyDescent="0.3">
      <c r="A34" s="104">
        <v>33</v>
      </c>
      <c r="B34" s="102">
        <v>8500000</v>
      </c>
      <c r="C34" s="103" t="s">
        <v>46</v>
      </c>
      <c r="D34" s="23" cm="1">
        <f t="array" ref="D34">_xlfn.IFS(B34&lt;=1000000,1,B34&lt;=5000000,2,B34&lt;=25000000,3,B34&lt;=100000000,4,B34&lt;=500000000,5,B34&lt;=2000000000,6,B34&gt;2000000000,7)</f>
        <v>3</v>
      </c>
      <c r="E34" s="15">
        <f t="shared" ref="E34:E65" si="6">ROUNDUP(MAX(G34 + K34, Min_CoC_Fee),0)</f>
        <v>554</v>
      </c>
      <c r="F34" s="21">
        <f t="shared" ref="F34:F65" si="7">MATCH(C34, CoC_Cert_Types, 0) - 1</f>
        <v>2</v>
      </c>
      <c r="G34" s="21">
        <f t="shared" ref="G34:G65" si="8">IF($F34 &gt; 0, VLOOKUP($D34, Base_Costs_Lookup, $F34 + 1), 0)</f>
        <v>458.56</v>
      </c>
      <c r="H34" s="21" cm="1">
        <f t="array" ref="H34">INDEX(Turnover_Bands_Min, $D34)</f>
        <v>5000000</v>
      </c>
      <c r="I34" s="21">
        <f t="shared" si="4"/>
        <v>3500000</v>
      </c>
      <c r="J34" s="22">
        <f t="shared" ref="J34:J65" si="9">IF($F34 &gt; 0, VLOOKUP($D34, Variable_Costs_Lookup, $F34 + 1), 0)</f>
        <v>27.01</v>
      </c>
      <c r="K34" s="88">
        <f t="shared" si="5"/>
        <v>94.535000000000011</v>
      </c>
    </row>
    <row r="35" spans="1:11" x14ac:dyDescent="0.3">
      <c r="A35" s="104">
        <v>34</v>
      </c>
      <c r="B35" s="105">
        <v>9000000</v>
      </c>
      <c r="C35" s="103" t="s">
        <v>46</v>
      </c>
      <c r="D35" s="23" cm="1">
        <f t="array" ref="D35">_xlfn.IFS(B35&lt;=1000000,1,B35&lt;=5000000,2,B35&lt;=25000000,3,B35&lt;=100000000,4,B35&lt;=500000000,5,B35&lt;=2000000000,6,B35&gt;2000000000,7)</f>
        <v>3</v>
      </c>
      <c r="E35" s="15">
        <f t="shared" si="6"/>
        <v>567</v>
      </c>
      <c r="F35" s="21">
        <f t="shared" si="7"/>
        <v>2</v>
      </c>
      <c r="G35" s="21">
        <f t="shared" si="8"/>
        <v>458.56</v>
      </c>
      <c r="H35" s="21" cm="1">
        <f t="array" ref="H35">INDEX(Turnover_Bands_Min, $D35)</f>
        <v>5000000</v>
      </c>
      <c r="I35" s="21">
        <f t="shared" si="4"/>
        <v>4000000</v>
      </c>
      <c r="J35" s="22">
        <f t="shared" si="9"/>
        <v>27.01</v>
      </c>
      <c r="K35" s="88">
        <f t="shared" si="5"/>
        <v>108.04</v>
      </c>
    </row>
    <row r="36" spans="1:11" x14ac:dyDescent="0.3">
      <c r="A36" s="104">
        <v>35</v>
      </c>
      <c r="B36" s="105">
        <v>9500000</v>
      </c>
      <c r="C36" s="103" t="s">
        <v>46</v>
      </c>
      <c r="D36" s="23" cm="1">
        <f t="array" ref="D36">_xlfn.IFS(B36&lt;=1000000,1,B36&lt;=5000000,2,B36&lt;=25000000,3,B36&lt;=100000000,4,B36&lt;=500000000,5,B36&lt;=2000000000,6,B36&gt;2000000000,7)</f>
        <v>3</v>
      </c>
      <c r="E36" s="15">
        <f t="shared" si="6"/>
        <v>581</v>
      </c>
      <c r="F36" s="21">
        <f t="shared" si="7"/>
        <v>2</v>
      </c>
      <c r="G36" s="21">
        <f t="shared" si="8"/>
        <v>458.56</v>
      </c>
      <c r="H36" s="21" cm="1">
        <f t="array" ref="H36">INDEX(Turnover_Bands_Min, $D36)</f>
        <v>5000000</v>
      </c>
      <c r="I36" s="21">
        <f t="shared" si="4"/>
        <v>4500000</v>
      </c>
      <c r="J36" s="22">
        <f t="shared" si="9"/>
        <v>27.01</v>
      </c>
      <c r="K36" s="88">
        <f t="shared" si="5"/>
        <v>121.545</v>
      </c>
    </row>
    <row r="37" spans="1:11" x14ac:dyDescent="0.3">
      <c r="A37" s="104">
        <v>36</v>
      </c>
      <c r="B37" s="102">
        <v>10000000</v>
      </c>
      <c r="C37" s="103" t="s">
        <v>46</v>
      </c>
      <c r="D37" s="23" cm="1">
        <f t="array" ref="D37">_xlfn.IFS(B37&lt;=1000000,1,B37&lt;=5000000,2,B37&lt;=25000000,3,B37&lt;=100000000,4,B37&lt;=500000000,5,B37&lt;=2000000000,6,B37&gt;2000000000,7)</f>
        <v>3</v>
      </c>
      <c r="E37" s="15">
        <f t="shared" si="6"/>
        <v>594</v>
      </c>
      <c r="F37" s="21">
        <f t="shared" si="7"/>
        <v>2</v>
      </c>
      <c r="G37" s="21">
        <f t="shared" si="8"/>
        <v>458.56</v>
      </c>
      <c r="H37" s="21" cm="1">
        <f t="array" ref="H37">INDEX(Turnover_Bands_Min, $D37)</f>
        <v>5000000</v>
      </c>
      <c r="I37" s="21">
        <f t="shared" si="4"/>
        <v>5000000</v>
      </c>
      <c r="J37" s="22">
        <f t="shared" si="9"/>
        <v>27.01</v>
      </c>
      <c r="K37" s="88">
        <f t="shared" si="5"/>
        <v>135.05000000000001</v>
      </c>
    </row>
    <row r="38" spans="1:11" x14ac:dyDescent="0.3">
      <c r="A38" s="104">
        <v>37</v>
      </c>
      <c r="B38" s="105">
        <v>11000000</v>
      </c>
      <c r="C38" s="103" t="s">
        <v>46</v>
      </c>
      <c r="D38" s="23" cm="1">
        <f t="array" ref="D38">_xlfn.IFS(B38&lt;=1000000,1,B38&lt;=5000000,2,B38&lt;=25000000,3,B38&lt;=100000000,4,B38&lt;=500000000,5,B38&lt;=2000000000,6,B38&gt;2000000000,7)</f>
        <v>3</v>
      </c>
      <c r="E38" s="15">
        <f t="shared" si="6"/>
        <v>621</v>
      </c>
      <c r="F38" s="21">
        <f t="shared" si="7"/>
        <v>2</v>
      </c>
      <c r="G38" s="21">
        <f t="shared" si="8"/>
        <v>458.56</v>
      </c>
      <c r="H38" s="21" cm="1">
        <f t="array" ref="H38">INDEX(Turnover_Bands_Min, $D38)</f>
        <v>5000000</v>
      </c>
      <c r="I38" s="21">
        <f t="shared" si="4"/>
        <v>6000000</v>
      </c>
      <c r="J38" s="22">
        <f t="shared" si="9"/>
        <v>27.01</v>
      </c>
      <c r="K38" s="88">
        <f t="shared" si="5"/>
        <v>162.06</v>
      </c>
    </row>
    <row r="39" spans="1:11" x14ac:dyDescent="0.3">
      <c r="A39" s="104">
        <v>38</v>
      </c>
      <c r="B39" s="102">
        <v>12000000</v>
      </c>
      <c r="C39" s="103" t="s">
        <v>46</v>
      </c>
      <c r="D39" s="23" cm="1">
        <f t="array" ref="D39">_xlfn.IFS(B39&lt;=1000000,1,B39&lt;=5000000,2,B39&lt;=25000000,3,B39&lt;=100000000,4,B39&lt;=500000000,5,B39&lt;=2000000000,6,B39&gt;2000000000,7)</f>
        <v>3</v>
      </c>
      <c r="E39" s="15">
        <f t="shared" si="6"/>
        <v>648</v>
      </c>
      <c r="F39" s="21">
        <f t="shared" si="7"/>
        <v>2</v>
      </c>
      <c r="G39" s="21">
        <f t="shared" si="8"/>
        <v>458.56</v>
      </c>
      <c r="H39" s="21" cm="1">
        <f t="array" ref="H39">INDEX(Turnover_Bands_Min, $D39)</f>
        <v>5000000</v>
      </c>
      <c r="I39" s="21">
        <f t="shared" si="4"/>
        <v>7000000</v>
      </c>
      <c r="J39" s="22">
        <f t="shared" si="9"/>
        <v>27.01</v>
      </c>
      <c r="K39" s="88">
        <f t="shared" si="5"/>
        <v>189.07000000000002</v>
      </c>
    </row>
    <row r="40" spans="1:11" x14ac:dyDescent="0.3">
      <c r="A40" s="104">
        <v>39</v>
      </c>
      <c r="B40" s="105">
        <v>13000000</v>
      </c>
      <c r="C40" s="103" t="s">
        <v>46</v>
      </c>
      <c r="D40" s="23" cm="1">
        <f t="array" ref="D40">_xlfn.IFS(B40&lt;=1000000,1,B40&lt;=5000000,2,B40&lt;=25000000,3,B40&lt;=100000000,4,B40&lt;=500000000,5,B40&lt;=2000000000,6,B40&gt;2000000000,7)</f>
        <v>3</v>
      </c>
      <c r="E40" s="15">
        <f t="shared" si="6"/>
        <v>675</v>
      </c>
      <c r="F40" s="21">
        <f t="shared" si="7"/>
        <v>2</v>
      </c>
      <c r="G40" s="21">
        <f t="shared" si="8"/>
        <v>458.56</v>
      </c>
      <c r="H40" s="21" cm="1">
        <f t="array" ref="H40">INDEX(Turnover_Bands_Min, $D40)</f>
        <v>5000000</v>
      </c>
      <c r="I40" s="21">
        <f t="shared" si="4"/>
        <v>8000000</v>
      </c>
      <c r="J40" s="22">
        <f t="shared" si="9"/>
        <v>27.01</v>
      </c>
      <c r="K40" s="88">
        <f t="shared" si="5"/>
        <v>216.08</v>
      </c>
    </row>
    <row r="41" spans="1:11" x14ac:dyDescent="0.3">
      <c r="A41" s="104">
        <v>40</v>
      </c>
      <c r="B41" s="102">
        <v>14000000</v>
      </c>
      <c r="C41" s="103" t="s">
        <v>46</v>
      </c>
      <c r="D41" s="23" cm="1">
        <f t="array" ref="D41">_xlfn.IFS(B41&lt;=1000000,1,B41&lt;=5000000,2,B41&lt;=25000000,3,B41&lt;=100000000,4,B41&lt;=500000000,5,B41&lt;=2000000000,6,B41&gt;2000000000,7)</f>
        <v>3</v>
      </c>
      <c r="E41" s="15">
        <f t="shared" si="6"/>
        <v>702</v>
      </c>
      <c r="F41" s="21">
        <f t="shared" si="7"/>
        <v>2</v>
      </c>
      <c r="G41" s="21">
        <f t="shared" si="8"/>
        <v>458.56</v>
      </c>
      <c r="H41" s="21" cm="1">
        <f t="array" ref="H41">INDEX(Turnover_Bands_Min, $D41)</f>
        <v>5000000</v>
      </c>
      <c r="I41" s="21">
        <f t="shared" si="4"/>
        <v>9000000</v>
      </c>
      <c r="J41" s="22">
        <f t="shared" si="9"/>
        <v>27.01</v>
      </c>
      <c r="K41" s="88">
        <f t="shared" si="5"/>
        <v>243.09</v>
      </c>
    </row>
    <row r="42" spans="1:11" x14ac:dyDescent="0.3">
      <c r="A42" s="104">
        <v>41</v>
      </c>
      <c r="B42" s="105">
        <v>15000000</v>
      </c>
      <c r="C42" s="103" t="s">
        <v>46</v>
      </c>
      <c r="D42" s="23" cm="1">
        <f t="array" ref="D42">_xlfn.IFS(B42&lt;=1000000,1,B42&lt;=5000000,2,B42&lt;=25000000,3,B42&lt;=100000000,4,B42&lt;=500000000,5,B42&lt;=2000000000,6,B42&gt;2000000000,7)</f>
        <v>3</v>
      </c>
      <c r="E42" s="15">
        <f t="shared" si="6"/>
        <v>729</v>
      </c>
      <c r="F42" s="21">
        <f t="shared" si="7"/>
        <v>2</v>
      </c>
      <c r="G42" s="21">
        <f t="shared" si="8"/>
        <v>458.56</v>
      </c>
      <c r="H42" s="21" cm="1">
        <f t="array" ref="H42">INDEX(Turnover_Bands_Min, $D42)</f>
        <v>5000000</v>
      </c>
      <c r="I42" s="21">
        <f t="shared" si="4"/>
        <v>10000000</v>
      </c>
      <c r="J42" s="22">
        <f t="shared" si="9"/>
        <v>27.01</v>
      </c>
      <c r="K42" s="88">
        <f t="shared" si="5"/>
        <v>270.10000000000002</v>
      </c>
    </row>
    <row r="43" spans="1:11" x14ac:dyDescent="0.3">
      <c r="A43" s="104">
        <v>42</v>
      </c>
      <c r="B43" s="102">
        <v>16000000</v>
      </c>
      <c r="C43" s="103" t="s">
        <v>46</v>
      </c>
      <c r="D43" s="23" cm="1">
        <f t="array" ref="D43">_xlfn.IFS(B43&lt;=1000000,1,B43&lt;=5000000,2,B43&lt;=25000000,3,B43&lt;=100000000,4,B43&lt;=500000000,5,B43&lt;=2000000000,6,B43&gt;2000000000,7)</f>
        <v>3</v>
      </c>
      <c r="E43" s="15">
        <f t="shared" si="6"/>
        <v>756</v>
      </c>
      <c r="F43" s="21">
        <f t="shared" si="7"/>
        <v>2</v>
      </c>
      <c r="G43" s="21">
        <f t="shared" si="8"/>
        <v>458.56</v>
      </c>
      <c r="H43" s="21" cm="1">
        <f t="array" ref="H43">INDEX(Turnover_Bands_Min, $D43)</f>
        <v>5000000</v>
      </c>
      <c r="I43" s="21">
        <f t="shared" si="4"/>
        <v>11000000</v>
      </c>
      <c r="J43" s="22">
        <f t="shared" si="9"/>
        <v>27.01</v>
      </c>
      <c r="K43" s="88">
        <f t="shared" si="5"/>
        <v>297.11</v>
      </c>
    </row>
    <row r="44" spans="1:11" x14ac:dyDescent="0.3">
      <c r="A44" s="104">
        <v>43</v>
      </c>
      <c r="B44" s="105">
        <v>17000000</v>
      </c>
      <c r="C44" s="103" t="s">
        <v>46</v>
      </c>
      <c r="D44" s="23" cm="1">
        <f t="array" ref="D44">_xlfn.IFS(B44&lt;=1000000,1,B44&lt;=5000000,2,B44&lt;=25000000,3,B44&lt;=100000000,4,B44&lt;=500000000,5,B44&lt;=2000000000,6,B44&gt;2000000000,7)</f>
        <v>3</v>
      </c>
      <c r="E44" s="15">
        <f t="shared" si="6"/>
        <v>783</v>
      </c>
      <c r="F44" s="21">
        <f t="shared" si="7"/>
        <v>2</v>
      </c>
      <c r="G44" s="21">
        <f t="shared" si="8"/>
        <v>458.56</v>
      </c>
      <c r="H44" s="21" cm="1">
        <f t="array" ref="H44">INDEX(Turnover_Bands_Min, $D44)</f>
        <v>5000000</v>
      </c>
      <c r="I44" s="21">
        <f t="shared" si="4"/>
        <v>12000000</v>
      </c>
      <c r="J44" s="22">
        <f t="shared" si="9"/>
        <v>27.01</v>
      </c>
      <c r="K44" s="88">
        <f t="shared" si="5"/>
        <v>324.12</v>
      </c>
    </row>
    <row r="45" spans="1:11" x14ac:dyDescent="0.3">
      <c r="A45" s="104">
        <v>44</v>
      </c>
      <c r="B45" s="102">
        <v>18000000</v>
      </c>
      <c r="C45" s="103" t="s">
        <v>46</v>
      </c>
      <c r="D45" s="23" cm="1">
        <f t="array" ref="D45">_xlfn.IFS(B45&lt;=1000000,1,B45&lt;=5000000,2,B45&lt;=25000000,3,B45&lt;=100000000,4,B45&lt;=500000000,5,B45&lt;=2000000000,6,B45&gt;2000000000,7)</f>
        <v>3</v>
      </c>
      <c r="E45" s="15">
        <f t="shared" si="6"/>
        <v>810</v>
      </c>
      <c r="F45" s="21">
        <f t="shared" si="7"/>
        <v>2</v>
      </c>
      <c r="G45" s="21">
        <f t="shared" si="8"/>
        <v>458.56</v>
      </c>
      <c r="H45" s="21" cm="1">
        <f t="array" ref="H45">INDEX(Turnover_Bands_Min, $D45)</f>
        <v>5000000</v>
      </c>
      <c r="I45" s="21">
        <f t="shared" si="4"/>
        <v>13000000</v>
      </c>
      <c r="J45" s="22">
        <f t="shared" si="9"/>
        <v>27.01</v>
      </c>
      <c r="K45" s="88">
        <f t="shared" si="5"/>
        <v>351.13</v>
      </c>
    </row>
    <row r="46" spans="1:11" x14ac:dyDescent="0.3">
      <c r="A46" s="104">
        <v>45</v>
      </c>
      <c r="B46" s="105">
        <v>19000000</v>
      </c>
      <c r="C46" s="103" t="s">
        <v>46</v>
      </c>
      <c r="D46" s="23" cm="1">
        <f t="array" ref="D46">_xlfn.IFS(B46&lt;=1000000,1,B46&lt;=5000000,2,B46&lt;=25000000,3,B46&lt;=100000000,4,B46&lt;=500000000,5,B46&lt;=2000000000,6,B46&gt;2000000000,7)</f>
        <v>3</v>
      </c>
      <c r="E46" s="15">
        <f t="shared" si="6"/>
        <v>837</v>
      </c>
      <c r="F46" s="21">
        <f t="shared" si="7"/>
        <v>2</v>
      </c>
      <c r="G46" s="21">
        <f t="shared" si="8"/>
        <v>458.56</v>
      </c>
      <c r="H46" s="21" cm="1">
        <f t="array" ref="H46">INDEX(Turnover_Bands_Min, $D46)</f>
        <v>5000000</v>
      </c>
      <c r="I46" s="21">
        <f t="shared" si="4"/>
        <v>14000000</v>
      </c>
      <c r="J46" s="22">
        <f t="shared" si="9"/>
        <v>27.01</v>
      </c>
      <c r="K46" s="88">
        <f t="shared" si="5"/>
        <v>378.14000000000004</v>
      </c>
    </row>
    <row r="47" spans="1:11" x14ac:dyDescent="0.3">
      <c r="A47" s="104">
        <v>46</v>
      </c>
      <c r="B47" s="102">
        <v>20000000</v>
      </c>
      <c r="C47" s="103" t="s">
        <v>46</v>
      </c>
      <c r="D47" s="23" cm="1">
        <f t="array" ref="D47">_xlfn.IFS(B47&lt;=1000000,1,B47&lt;=5000000,2,B47&lt;=25000000,3,B47&lt;=100000000,4,B47&lt;=500000000,5,B47&lt;=2000000000,6,B47&gt;2000000000,7)</f>
        <v>3</v>
      </c>
      <c r="E47" s="15">
        <f t="shared" si="6"/>
        <v>864</v>
      </c>
      <c r="F47" s="21">
        <f t="shared" si="7"/>
        <v>2</v>
      </c>
      <c r="G47" s="21">
        <f t="shared" si="8"/>
        <v>458.56</v>
      </c>
      <c r="H47" s="21" cm="1">
        <f t="array" ref="H47">INDEX(Turnover_Bands_Min, $D47)</f>
        <v>5000000</v>
      </c>
      <c r="I47" s="21">
        <f t="shared" si="4"/>
        <v>15000000</v>
      </c>
      <c r="J47" s="22">
        <f t="shared" si="9"/>
        <v>27.01</v>
      </c>
      <c r="K47" s="88">
        <f t="shared" si="5"/>
        <v>405.15000000000003</v>
      </c>
    </row>
    <row r="48" spans="1:11" x14ac:dyDescent="0.3">
      <c r="A48" s="104">
        <v>47</v>
      </c>
      <c r="B48" s="105">
        <v>22000000</v>
      </c>
      <c r="C48" s="103" t="s">
        <v>46</v>
      </c>
      <c r="D48" s="23" cm="1">
        <f t="array" ref="D48">_xlfn.IFS(B48&lt;=1000000,1,B48&lt;=5000000,2,B48&lt;=25000000,3,B48&lt;=100000000,4,B48&lt;=500000000,5,B48&lt;=2000000000,6,B48&gt;2000000000,7)</f>
        <v>3</v>
      </c>
      <c r="E48" s="15">
        <f t="shared" si="6"/>
        <v>918</v>
      </c>
      <c r="F48" s="21">
        <f t="shared" si="7"/>
        <v>2</v>
      </c>
      <c r="G48" s="21">
        <f t="shared" si="8"/>
        <v>458.56</v>
      </c>
      <c r="H48" s="21" cm="1">
        <f t="array" ref="H48">INDEX(Turnover_Bands_Min, $D48)</f>
        <v>5000000</v>
      </c>
      <c r="I48" s="21">
        <f t="shared" si="4"/>
        <v>17000000</v>
      </c>
      <c r="J48" s="22">
        <f t="shared" si="9"/>
        <v>27.01</v>
      </c>
      <c r="K48" s="88">
        <f t="shared" si="5"/>
        <v>459.17</v>
      </c>
    </row>
    <row r="49" spans="1:11" x14ac:dyDescent="0.3">
      <c r="A49" s="104">
        <v>48</v>
      </c>
      <c r="B49" s="102">
        <v>24000000</v>
      </c>
      <c r="C49" s="103" t="s">
        <v>46</v>
      </c>
      <c r="D49" s="23" cm="1">
        <f t="array" ref="D49">_xlfn.IFS(B49&lt;=1000000,1,B49&lt;=5000000,2,B49&lt;=25000000,3,B49&lt;=100000000,4,B49&lt;=500000000,5,B49&lt;=2000000000,6,B49&gt;2000000000,7)</f>
        <v>3</v>
      </c>
      <c r="E49" s="15">
        <f t="shared" si="6"/>
        <v>972</v>
      </c>
      <c r="F49" s="21">
        <f t="shared" si="7"/>
        <v>2</v>
      </c>
      <c r="G49" s="21">
        <f t="shared" si="8"/>
        <v>458.56</v>
      </c>
      <c r="H49" s="21" cm="1">
        <f t="array" ref="H49">INDEX(Turnover_Bands_Min, $D49)</f>
        <v>5000000</v>
      </c>
      <c r="I49" s="21">
        <f t="shared" si="4"/>
        <v>19000000</v>
      </c>
      <c r="J49" s="22">
        <f t="shared" si="9"/>
        <v>27.01</v>
      </c>
      <c r="K49" s="88">
        <f t="shared" si="5"/>
        <v>513.19000000000005</v>
      </c>
    </row>
    <row r="50" spans="1:11" x14ac:dyDescent="0.3">
      <c r="A50" s="104">
        <v>49</v>
      </c>
      <c r="B50" s="105">
        <v>26000000</v>
      </c>
      <c r="C50" s="103" t="s">
        <v>46</v>
      </c>
      <c r="D50" s="23" cm="1">
        <f t="array" ref="D50">_xlfn.IFS(B50&lt;=1000000,1,B50&lt;=5000000,2,B50&lt;=25000000,3,B50&lt;=100000000,4,B50&lt;=500000000,5,B50&lt;=2000000000,6,B50&gt;2000000000,7)</f>
        <v>4</v>
      </c>
      <c r="E50" s="15">
        <f t="shared" si="6"/>
        <v>1011</v>
      </c>
      <c r="F50" s="21">
        <f t="shared" si="7"/>
        <v>2</v>
      </c>
      <c r="G50" s="21">
        <f t="shared" si="8"/>
        <v>999.55</v>
      </c>
      <c r="H50" s="21" cm="1">
        <f t="array" ref="H50">INDEX(Turnover_Bands_Min, $D50)</f>
        <v>25000000</v>
      </c>
      <c r="I50" s="21">
        <f t="shared" si="4"/>
        <v>1000000</v>
      </c>
      <c r="J50" s="22">
        <f t="shared" si="9"/>
        <v>10.81</v>
      </c>
      <c r="K50" s="88">
        <f t="shared" si="5"/>
        <v>10.81</v>
      </c>
    </row>
    <row r="51" spans="1:11" x14ac:dyDescent="0.3">
      <c r="A51" s="104">
        <v>50</v>
      </c>
      <c r="B51" s="102">
        <v>28000000</v>
      </c>
      <c r="C51" s="103" t="s">
        <v>46</v>
      </c>
      <c r="D51" s="23" cm="1">
        <f t="array" ref="D51">_xlfn.IFS(B51&lt;=1000000,1,B51&lt;=5000000,2,B51&lt;=25000000,3,B51&lt;=100000000,4,B51&lt;=500000000,5,B51&lt;=2000000000,6,B51&gt;2000000000,7)</f>
        <v>4</v>
      </c>
      <c r="E51" s="15">
        <f t="shared" si="6"/>
        <v>1032</v>
      </c>
      <c r="F51" s="21">
        <f t="shared" si="7"/>
        <v>2</v>
      </c>
      <c r="G51" s="21">
        <f t="shared" si="8"/>
        <v>999.55</v>
      </c>
      <c r="H51" s="21" cm="1">
        <f t="array" ref="H51">INDEX(Turnover_Bands_Min, $D51)</f>
        <v>25000000</v>
      </c>
      <c r="I51" s="21">
        <f t="shared" si="4"/>
        <v>3000000</v>
      </c>
      <c r="J51" s="22">
        <f t="shared" si="9"/>
        <v>10.81</v>
      </c>
      <c r="K51" s="88">
        <f t="shared" si="5"/>
        <v>32.43</v>
      </c>
    </row>
    <row r="52" spans="1:11" x14ac:dyDescent="0.3">
      <c r="A52" s="104">
        <v>51</v>
      </c>
      <c r="B52" s="105">
        <v>30000000</v>
      </c>
      <c r="C52" s="103" t="s">
        <v>46</v>
      </c>
      <c r="D52" s="23" cm="1">
        <f t="array" ref="D52">_xlfn.IFS(B52&lt;=1000000,1,B52&lt;=5000000,2,B52&lt;=25000000,3,B52&lt;=100000000,4,B52&lt;=500000000,5,B52&lt;=2000000000,6,B52&gt;2000000000,7)</f>
        <v>4</v>
      </c>
      <c r="E52" s="15">
        <f t="shared" si="6"/>
        <v>1054</v>
      </c>
      <c r="F52" s="21">
        <f t="shared" si="7"/>
        <v>2</v>
      </c>
      <c r="G52" s="21">
        <f t="shared" si="8"/>
        <v>999.55</v>
      </c>
      <c r="H52" s="21" cm="1">
        <f t="array" ref="H52">INDEX(Turnover_Bands_Min, $D52)</f>
        <v>25000000</v>
      </c>
      <c r="I52" s="21">
        <f t="shared" si="4"/>
        <v>5000000</v>
      </c>
      <c r="J52" s="22">
        <f t="shared" si="9"/>
        <v>10.81</v>
      </c>
      <c r="K52" s="88">
        <f t="shared" si="5"/>
        <v>54.050000000000004</v>
      </c>
    </row>
    <row r="53" spans="1:11" x14ac:dyDescent="0.3">
      <c r="A53" s="104">
        <v>52</v>
      </c>
      <c r="B53" s="102">
        <v>32000000</v>
      </c>
      <c r="C53" s="103" t="s">
        <v>46</v>
      </c>
      <c r="D53" s="23" cm="1">
        <f t="array" ref="D53">_xlfn.IFS(B53&lt;=1000000,1,B53&lt;=5000000,2,B53&lt;=25000000,3,B53&lt;=100000000,4,B53&lt;=500000000,5,B53&lt;=2000000000,6,B53&gt;2000000000,7)</f>
        <v>4</v>
      </c>
      <c r="E53" s="15">
        <f t="shared" si="6"/>
        <v>1076</v>
      </c>
      <c r="F53" s="21">
        <f t="shared" si="7"/>
        <v>2</v>
      </c>
      <c r="G53" s="21">
        <f t="shared" si="8"/>
        <v>999.55</v>
      </c>
      <c r="H53" s="21" cm="1">
        <f t="array" ref="H53">INDEX(Turnover_Bands_Min, $D53)</f>
        <v>25000000</v>
      </c>
      <c r="I53" s="21">
        <f t="shared" si="4"/>
        <v>7000000</v>
      </c>
      <c r="J53" s="22">
        <f t="shared" si="9"/>
        <v>10.81</v>
      </c>
      <c r="K53" s="88">
        <f t="shared" si="5"/>
        <v>75.67</v>
      </c>
    </row>
    <row r="54" spans="1:11" x14ac:dyDescent="0.3">
      <c r="A54" s="104">
        <v>53</v>
      </c>
      <c r="B54" s="105">
        <v>34000000</v>
      </c>
      <c r="C54" s="103" t="s">
        <v>46</v>
      </c>
      <c r="D54" s="23" cm="1">
        <f t="array" ref="D54">_xlfn.IFS(B54&lt;=1000000,1,B54&lt;=5000000,2,B54&lt;=25000000,3,B54&lt;=100000000,4,B54&lt;=500000000,5,B54&lt;=2000000000,6,B54&gt;2000000000,7)</f>
        <v>4</v>
      </c>
      <c r="E54" s="15">
        <f t="shared" si="6"/>
        <v>1097</v>
      </c>
      <c r="F54" s="21">
        <f t="shared" si="7"/>
        <v>2</v>
      </c>
      <c r="G54" s="21">
        <f t="shared" si="8"/>
        <v>999.55</v>
      </c>
      <c r="H54" s="21" cm="1">
        <f t="array" ref="H54">INDEX(Turnover_Bands_Min, $D54)</f>
        <v>25000000</v>
      </c>
      <c r="I54" s="21">
        <f t="shared" si="4"/>
        <v>9000000</v>
      </c>
      <c r="J54" s="22">
        <f t="shared" si="9"/>
        <v>10.81</v>
      </c>
      <c r="K54" s="88">
        <f t="shared" si="5"/>
        <v>97.29</v>
      </c>
    </row>
    <row r="55" spans="1:11" x14ac:dyDescent="0.3">
      <c r="A55" s="104">
        <v>54</v>
      </c>
      <c r="B55" s="102">
        <v>36000000</v>
      </c>
      <c r="C55" s="103" t="s">
        <v>46</v>
      </c>
      <c r="D55" s="23" cm="1">
        <f t="array" ref="D55">_xlfn.IFS(B55&lt;=1000000,1,B55&lt;=5000000,2,B55&lt;=25000000,3,B55&lt;=100000000,4,B55&lt;=500000000,5,B55&lt;=2000000000,6,B55&gt;2000000000,7)</f>
        <v>4</v>
      </c>
      <c r="E55" s="15">
        <f t="shared" si="6"/>
        <v>1119</v>
      </c>
      <c r="F55" s="21">
        <f t="shared" si="7"/>
        <v>2</v>
      </c>
      <c r="G55" s="21">
        <f t="shared" si="8"/>
        <v>999.55</v>
      </c>
      <c r="H55" s="21" cm="1">
        <f t="array" ref="H55">INDEX(Turnover_Bands_Min, $D55)</f>
        <v>25000000</v>
      </c>
      <c r="I55" s="21">
        <f t="shared" si="4"/>
        <v>11000000</v>
      </c>
      <c r="J55" s="22">
        <f t="shared" si="9"/>
        <v>10.81</v>
      </c>
      <c r="K55" s="88">
        <f t="shared" si="5"/>
        <v>118.91000000000001</v>
      </c>
    </row>
    <row r="56" spans="1:11" x14ac:dyDescent="0.3">
      <c r="A56" s="104">
        <v>55</v>
      </c>
      <c r="B56" s="105">
        <v>38000000</v>
      </c>
      <c r="C56" s="103" t="s">
        <v>46</v>
      </c>
      <c r="D56" s="23" cm="1">
        <f t="array" ref="D56">_xlfn.IFS(B56&lt;=1000000,1,B56&lt;=5000000,2,B56&lt;=25000000,3,B56&lt;=100000000,4,B56&lt;=500000000,5,B56&lt;=2000000000,6,B56&gt;2000000000,7)</f>
        <v>4</v>
      </c>
      <c r="E56" s="15">
        <f t="shared" si="6"/>
        <v>1141</v>
      </c>
      <c r="F56" s="21">
        <f t="shared" si="7"/>
        <v>2</v>
      </c>
      <c r="G56" s="21">
        <f t="shared" si="8"/>
        <v>999.55</v>
      </c>
      <c r="H56" s="21" cm="1">
        <f t="array" ref="H56">INDEX(Turnover_Bands_Min, $D56)</f>
        <v>25000000</v>
      </c>
      <c r="I56" s="21">
        <f t="shared" si="4"/>
        <v>13000000</v>
      </c>
      <c r="J56" s="22">
        <f t="shared" si="9"/>
        <v>10.81</v>
      </c>
      <c r="K56" s="88">
        <f t="shared" si="5"/>
        <v>140.53</v>
      </c>
    </row>
    <row r="57" spans="1:11" x14ac:dyDescent="0.3">
      <c r="A57" s="104">
        <v>56</v>
      </c>
      <c r="B57" s="102">
        <v>40000000</v>
      </c>
      <c r="C57" s="103" t="s">
        <v>46</v>
      </c>
      <c r="D57" s="23" cm="1">
        <f t="array" ref="D57">_xlfn.IFS(B57&lt;=1000000,1,B57&lt;=5000000,2,B57&lt;=25000000,3,B57&lt;=100000000,4,B57&lt;=500000000,5,B57&lt;=2000000000,6,B57&gt;2000000000,7)</f>
        <v>4</v>
      </c>
      <c r="E57" s="15">
        <f t="shared" si="6"/>
        <v>1162</v>
      </c>
      <c r="F57" s="21">
        <f t="shared" si="7"/>
        <v>2</v>
      </c>
      <c r="G57" s="21">
        <f t="shared" si="8"/>
        <v>999.55</v>
      </c>
      <c r="H57" s="21" cm="1">
        <f t="array" ref="H57">INDEX(Turnover_Bands_Min, $D57)</f>
        <v>25000000</v>
      </c>
      <c r="I57" s="21">
        <f t="shared" si="4"/>
        <v>15000000</v>
      </c>
      <c r="J57" s="22">
        <f t="shared" si="9"/>
        <v>10.81</v>
      </c>
      <c r="K57" s="88">
        <f t="shared" si="5"/>
        <v>162.15</v>
      </c>
    </row>
    <row r="58" spans="1:11" x14ac:dyDescent="0.3">
      <c r="A58" s="104">
        <v>57</v>
      </c>
      <c r="B58" s="105">
        <v>42000000</v>
      </c>
      <c r="C58" s="103" t="s">
        <v>46</v>
      </c>
      <c r="D58" s="23" cm="1">
        <f t="array" ref="D58">_xlfn.IFS(B58&lt;=1000000,1,B58&lt;=5000000,2,B58&lt;=25000000,3,B58&lt;=100000000,4,B58&lt;=500000000,5,B58&lt;=2000000000,6,B58&gt;2000000000,7)</f>
        <v>4</v>
      </c>
      <c r="E58" s="15">
        <f t="shared" si="6"/>
        <v>1184</v>
      </c>
      <c r="F58" s="21">
        <f t="shared" si="7"/>
        <v>2</v>
      </c>
      <c r="G58" s="21">
        <f t="shared" si="8"/>
        <v>999.55</v>
      </c>
      <c r="H58" s="21" cm="1">
        <f t="array" ref="H58">INDEX(Turnover_Bands_Min, $D58)</f>
        <v>25000000</v>
      </c>
      <c r="I58" s="21">
        <f t="shared" si="4"/>
        <v>17000000</v>
      </c>
      <c r="J58" s="22">
        <f t="shared" si="9"/>
        <v>10.81</v>
      </c>
      <c r="K58" s="88">
        <f t="shared" si="5"/>
        <v>183.77</v>
      </c>
    </row>
    <row r="59" spans="1:11" x14ac:dyDescent="0.3">
      <c r="A59" s="104">
        <v>58</v>
      </c>
      <c r="B59" s="102">
        <v>44000000</v>
      </c>
      <c r="C59" s="103" t="s">
        <v>46</v>
      </c>
      <c r="D59" s="23" cm="1">
        <f t="array" ref="D59">_xlfn.IFS(B59&lt;=1000000,1,B59&lt;=5000000,2,B59&lt;=25000000,3,B59&lt;=100000000,4,B59&lt;=500000000,5,B59&lt;=2000000000,6,B59&gt;2000000000,7)</f>
        <v>4</v>
      </c>
      <c r="E59" s="15">
        <f t="shared" si="6"/>
        <v>1205</v>
      </c>
      <c r="F59" s="21">
        <f t="shared" si="7"/>
        <v>2</v>
      </c>
      <c r="G59" s="21">
        <f t="shared" si="8"/>
        <v>999.55</v>
      </c>
      <c r="H59" s="21" cm="1">
        <f t="array" ref="H59">INDEX(Turnover_Bands_Min, $D59)</f>
        <v>25000000</v>
      </c>
      <c r="I59" s="21">
        <f t="shared" si="4"/>
        <v>19000000</v>
      </c>
      <c r="J59" s="22">
        <f t="shared" si="9"/>
        <v>10.81</v>
      </c>
      <c r="K59" s="88">
        <f t="shared" si="5"/>
        <v>205.39000000000001</v>
      </c>
    </row>
    <row r="60" spans="1:11" x14ac:dyDescent="0.3">
      <c r="A60" s="104">
        <v>59</v>
      </c>
      <c r="B60" s="105">
        <v>46000000</v>
      </c>
      <c r="C60" s="103" t="s">
        <v>46</v>
      </c>
      <c r="D60" s="23" cm="1">
        <f t="array" ref="D60">_xlfn.IFS(B60&lt;=1000000,1,B60&lt;=5000000,2,B60&lt;=25000000,3,B60&lt;=100000000,4,B60&lt;=500000000,5,B60&lt;=2000000000,6,B60&gt;2000000000,7)</f>
        <v>4</v>
      </c>
      <c r="E60" s="15">
        <f t="shared" si="6"/>
        <v>1227</v>
      </c>
      <c r="F60" s="21">
        <f t="shared" si="7"/>
        <v>2</v>
      </c>
      <c r="G60" s="21">
        <f t="shared" si="8"/>
        <v>999.55</v>
      </c>
      <c r="H60" s="21" cm="1">
        <f t="array" ref="H60">INDEX(Turnover_Bands_Min, $D60)</f>
        <v>25000000</v>
      </c>
      <c r="I60" s="21">
        <f t="shared" si="4"/>
        <v>21000000</v>
      </c>
      <c r="J60" s="22">
        <f t="shared" si="9"/>
        <v>10.81</v>
      </c>
      <c r="K60" s="88">
        <f t="shared" si="5"/>
        <v>227.01000000000002</v>
      </c>
    </row>
    <row r="61" spans="1:11" x14ac:dyDescent="0.3">
      <c r="A61" s="104">
        <v>60</v>
      </c>
      <c r="B61" s="102">
        <v>48000000</v>
      </c>
      <c r="C61" s="103" t="s">
        <v>46</v>
      </c>
      <c r="D61" s="23" cm="1">
        <f t="array" ref="D61">_xlfn.IFS(B61&lt;=1000000,1,B61&lt;=5000000,2,B61&lt;=25000000,3,B61&lt;=100000000,4,B61&lt;=500000000,5,B61&lt;=2000000000,6,B61&gt;2000000000,7)</f>
        <v>4</v>
      </c>
      <c r="E61" s="15">
        <f t="shared" si="6"/>
        <v>1249</v>
      </c>
      <c r="F61" s="21">
        <f t="shared" si="7"/>
        <v>2</v>
      </c>
      <c r="G61" s="21">
        <f t="shared" si="8"/>
        <v>999.55</v>
      </c>
      <c r="H61" s="21" cm="1">
        <f t="array" ref="H61">INDEX(Turnover_Bands_Min, $D61)</f>
        <v>25000000</v>
      </c>
      <c r="I61" s="21">
        <f t="shared" si="4"/>
        <v>23000000</v>
      </c>
      <c r="J61" s="22">
        <f t="shared" si="9"/>
        <v>10.81</v>
      </c>
      <c r="K61" s="88">
        <f t="shared" si="5"/>
        <v>248.63000000000002</v>
      </c>
    </row>
    <row r="62" spans="1:11" x14ac:dyDescent="0.3">
      <c r="A62" s="104">
        <v>61</v>
      </c>
      <c r="B62" s="105">
        <v>50000000</v>
      </c>
      <c r="C62" s="103" t="s">
        <v>46</v>
      </c>
      <c r="D62" s="23" cm="1">
        <f t="array" ref="D62">_xlfn.IFS(B62&lt;=1000000,1,B62&lt;=5000000,2,B62&lt;=25000000,3,B62&lt;=100000000,4,B62&lt;=500000000,5,B62&lt;=2000000000,6,B62&gt;2000000000,7)</f>
        <v>4</v>
      </c>
      <c r="E62" s="15">
        <f t="shared" si="6"/>
        <v>1270</v>
      </c>
      <c r="F62" s="21">
        <f t="shared" si="7"/>
        <v>2</v>
      </c>
      <c r="G62" s="21">
        <f t="shared" si="8"/>
        <v>999.55</v>
      </c>
      <c r="H62" s="21" cm="1">
        <f t="array" ref="H62">INDEX(Turnover_Bands_Min, $D62)</f>
        <v>25000000</v>
      </c>
      <c r="I62" s="21">
        <f t="shared" si="4"/>
        <v>25000000</v>
      </c>
      <c r="J62" s="22">
        <f t="shared" si="9"/>
        <v>10.81</v>
      </c>
      <c r="K62" s="88">
        <f t="shared" si="5"/>
        <v>270.25</v>
      </c>
    </row>
    <row r="63" spans="1:11" x14ac:dyDescent="0.3">
      <c r="A63" s="104">
        <v>62</v>
      </c>
      <c r="B63" s="102">
        <v>55000000</v>
      </c>
      <c r="C63" s="103" t="s">
        <v>46</v>
      </c>
      <c r="D63" s="23" cm="1">
        <f t="array" ref="D63">_xlfn.IFS(B63&lt;=1000000,1,B63&lt;=5000000,2,B63&lt;=25000000,3,B63&lt;=100000000,4,B63&lt;=500000000,5,B63&lt;=2000000000,6,B63&gt;2000000000,7)</f>
        <v>4</v>
      </c>
      <c r="E63" s="15">
        <f t="shared" si="6"/>
        <v>1324</v>
      </c>
      <c r="F63" s="21">
        <f t="shared" si="7"/>
        <v>2</v>
      </c>
      <c r="G63" s="21">
        <f t="shared" si="8"/>
        <v>999.55</v>
      </c>
      <c r="H63" s="21" cm="1">
        <f t="array" ref="H63">INDEX(Turnover_Bands_Min, $D63)</f>
        <v>25000000</v>
      </c>
      <c r="I63" s="21">
        <f t="shared" si="4"/>
        <v>30000000</v>
      </c>
      <c r="J63" s="22">
        <f t="shared" si="9"/>
        <v>10.81</v>
      </c>
      <c r="K63" s="88">
        <f t="shared" si="5"/>
        <v>324.3</v>
      </c>
    </row>
    <row r="64" spans="1:11" x14ac:dyDescent="0.3">
      <c r="A64" s="104">
        <v>63</v>
      </c>
      <c r="B64" s="105">
        <v>60000000</v>
      </c>
      <c r="C64" s="103" t="s">
        <v>46</v>
      </c>
      <c r="D64" s="23" cm="1">
        <f t="array" ref="D64">_xlfn.IFS(B64&lt;=1000000,1,B64&lt;=5000000,2,B64&lt;=25000000,3,B64&lt;=100000000,4,B64&lt;=500000000,5,B64&lt;=2000000000,6,B64&gt;2000000000,7)</f>
        <v>4</v>
      </c>
      <c r="E64" s="15">
        <f t="shared" si="6"/>
        <v>1378</v>
      </c>
      <c r="F64" s="21">
        <f t="shared" si="7"/>
        <v>2</v>
      </c>
      <c r="G64" s="21">
        <f t="shared" si="8"/>
        <v>999.55</v>
      </c>
      <c r="H64" s="21" cm="1">
        <f t="array" ref="H64">INDEX(Turnover_Bands_Min, $D64)</f>
        <v>25000000</v>
      </c>
      <c r="I64" s="21">
        <f t="shared" si="4"/>
        <v>35000000</v>
      </c>
      <c r="J64" s="22">
        <f t="shared" si="9"/>
        <v>10.81</v>
      </c>
      <c r="K64" s="88">
        <f t="shared" si="5"/>
        <v>378.35</v>
      </c>
    </row>
    <row r="65" spans="1:11" x14ac:dyDescent="0.3">
      <c r="A65" s="104">
        <v>64</v>
      </c>
      <c r="B65" s="102">
        <v>65000000</v>
      </c>
      <c r="C65" s="103" t="s">
        <v>46</v>
      </c>
      <c r="D65" s="23" cm="1">
        <f t="array" ref="D65">_xlfn.IFS(B65&lt;=1000000,1,B65&lt;=5000000,2,B65&lt;=25000000,3,B65&lt;=100000000,4,B65&lt;=500000000,5,B65&lt;=2000000000,6,B65&gt;2000000000,7)</f>
        <v>4</v>
      </c>
      <c r="E65" s="15">
        <f t="shared" si="6"/>
        <v>1432</v>
      </c>
      <c r="F65" s="21">
        <f t="shared" si="7"/>
        <v>2</v>
      </c>
      <c r="G65" s="21">
        <f t="shared" si="8"/>
        <v>999.55</v>
      </c>
      <c r="H65" s="21" cm="1">
        <f t="array" ref="H65">INDEX(Turnover_Bands_Min, $D65)</f>
        <v>25000000</v>
      </c>
      <c r="I65" s="21">
        <f t="shared" si="4"/>
        <v>40000000</v>
      </c>
      <c r="J65" s="22">
        <f t="shared" si="9"/>
        <v>10.81</v>
      </c>
      <c r="K65" s="88">
        <f t="shared" si="5"/>
        <v>432.40000000000003</v>
      </c>
    </row>
    <row r="66" spans="1:11" x14ac:dyDescent="0.3">
      <c r="A66" s="104">
        <v>65</v>
      </c>
      <c r="B66" s="105">
        <v>70000000</v>
      </c>
      <c r="C66" s="103" t="s">
        <v>46</v>
      </c>
      <c r="D66" s="23" cm="1">
        <f t="array" ref="D66">_xlfn.IFS(B66&lt;=1000000,1,B66&lt;=5000000,2,B66&lt;=25000000,3,B66&lt;=100000000,4,B66&lt;=500000000,5,B66&lt;=2000000000,6,B66&gt;2000000000,7)</f>
        <v>4</v>
      </c>
      <c r="E66" s="15">
        <f t="shared" ref="E66:E97" si="10">ROUNDUP(MAX(G66 + K66, Min_CoC_Fee),0)</f>
        <v>1486</v>
      </c>
      <c r="F66" s="21">
        <f t="shared" ref="F66:F100" si="11">MATCH(C66, CoC_Cert_Types, 0) - 1</f>
        <v>2</v>
      </c>
      <c r="G66" s="21">
        <f t="shared" ref="G66:G100" si="12">IF($F66 &gt; 0, VLOOKUP($D66, Base_Costs_Lookup, $F66 + 1), 0)</f>
        <v>999.55</v>
      </c>
      <c r="H66" s="21" cm="1">
        <f t="array" ref="H66">INDEX(Turnover_Bands_Min, $D66)</f>
        <v>25000000</v>
      </c>
      <c r="I66" s="21">
        <f t="shared" si="4"/>
        <v>45000000</v>
      </c>
      <c r="J66" s="22">
        <f t="shared" ref="J66:J100" si="13">IF($F66 &gt; 0, VLOOKUP($D66, Variable_Costs_Lookup, $F66 + 1), 0)</f>
        <v>10.81</v>
      </c>
      <c r="K66" s="88">
        <f t="shared" si="5"/>
        <v>486.45000000000005</v>
      </c>
    </row>
    <row r="67" spans="1:11" x14ac:dyDescent="0.3">
      <c r="A67" s="104">
        <v>66</v>
      </c>
      <c r="B67" s="102">
        <v>75000000</v>
      </c>
      <c r="C67" s="103" t="s">
        <v>46</v>
      </c>
      <c r="D67" s="23" cm="1">
        <f t="array" ref="D67">_xlfn.IFS(B67&lt;=1000000,1,B67&lt;=5000000,2,B67&lt;=25000000,3,B67&lt;=100000000,4,B67&lt;=500000000,5,B67&lt;=2000000000,6,B67&gt;2000000000,7)</f>
        <v>4</v>
      </c>
      <c r="E67" s="15">
        <f t="shared" si="10"/>
        <v>1541</v>
      </c>
      <c r="F67" s="21">
        <f t="shared" si="11"/>
        <v>2</v>
      </c>
      <c r="G67" s="21">
        <f t="shared" si="12"/>
        <v>999.55</v>
      </c>
      <c r="H67" s="21" cm="1">
        <f t="array" ref="H67">INDEX(Turnover_Bands_Min, $D67)</f>
        <v>25000000</v>
      </c>
      <c r="I67" s="21">
        <f t="shared" ref="I67:I100" si="14">IF($F67 &gt; 0, $B67 - $H67, 0)</f>
        <v>50000000</v>
      </c>
      <c r="J67" s="22">
        <f t="shared" si="13"/>
        <v>10.81</v>
      </c>
      <c r="K67" s="88">
        <f t="shared" ref="K67:K100" si="15">($I67 / 1000000 * $J67)</f>
        <v>540.5</v>
      </c>
    </row>
    <row r="68" spans="1:11" x14ac:dyDescent="0.3">
      <c r="A68" s="104">
        <v>67</v>
      </c>
      <c r="B68" s="105">
        <v>80000000</v>
      </c>
      <c r="C68" s="103" t="s">
        <v>46</v>
      </c>
      <c r="D68" s="23" cm="1">
        <f t="array" ref="D68">_xlfn.IFS(B68&lt;=1000000,1,B68&lt;=5000000,2,B68&lt;=25000000,3,B68&lt;=100000000,4,B68&lt;=500000000,5,B68&lt;=2000000000,6,B68&gt;2000000000,7)</f>
        <v>4</v>
      </c>
      <c r="E68" s="15">
        <f t="shared" si="10"/>
        <v>1595</v>
      </c>
      <c r="F68" s="21">
        <f t="shared" si="11"/>
        <v>2</v>
      </c>
      <c r="G68" s="21">
        <f t="shared" si="12"/>
        <v>999.55</v>
      </c>
      <c r="H68" s="21" cm="1">
        <f t="array" ref="H68">INDEX(Turnover_Bands_Min, $D68)</f>
        <v>25000000</v>
      </c>
      <c r="I68" s="21">
        <f t="shared" si="14"/>
        <v>55000000</v>
      </c>
      <c r="J68" s="22">
        <f t="shared" si="13"/>
        <v>10.81</v>
      </c>
      <c r="K68" s="88">
        <f t="shared" si="15"/>
        <v>594.55000000000007</v>
      </c>
    </row>
    <row r="69" spans="1:11" x14ac:dyDescent="0.3">
      <c r="A69" s="104">
        <v>68</v>
      </c>
      <c r="B69" s="102">
        <v>85000000</v>
      </c>
      <c r="C69" s="103" t="s">
        <v>46</v>
      </c>
      <c r="D69" s="23" cm="1">
        <f t="array" ref="D69">_xlfn.IFS(B69&lt;=1000000,1,B69&lt;=5000000,2,B69&lt;=25000000,3,B69&lt;=100000000,4,B69&lt;=500000000,5,B69&lt;=2000000000,6,B69&gt;2000000000,7)</f>
        <v>4</v>
      </c>
      <c r="E69" s="15">
        <f t="shared" si="10"/>
        <v>1649</v>
      </c>
      <c r="F69" s="21">
        <f t="shared" si="11"/>
        <v>2</v>
      </c>
      <c r="G69" s="21">
        <f t="shared" si="12"/>
        <v>999.55</v>
      </c>
      <c r="H69" s="21" cm="1">
        <f t="array" ref="H69">INDEX(Turnover_Bands_Min, $D69)</f>
        <v>25000000</v>
      </c>
      <c r="I69" s="21">
        <f t="shared" si="14"/>
        <v>60000000</v>
      </c>
      <c r="J69" s="22">
        <f t="shared" si="13"/>
        <v>10.81</v>
      </c>
      <c r="K69" s="88">
        <f t="shared" si="15"/>
        <v>648.6</v>
      </c>
    </row>
    <row r="70" spans="1:11" x14ac:dyDescent="0.3">
      <c r="A70" s="104">
        <v>69</v>
      </c>
      <c r="B70" s="105">
        <v>90000000</v>
      </c>
      <c r="C70" s="103" t="s">
        <v>46</v>
      </c>
      <c r="D70" s="23" cm="1">
        <f t="array" ref="D70">_xlfn.IFS(B70&lt;=1000000,1,B70&lt;=5000000,2,B70&lt;=25000000,3,B70&lt;=100000000,4,B70&lt;=500000000,5,B70&lt;=2000000000,6,B70&gt;2000000000,7)</f>
        <v>4</v>
      </c>
      <c r="E70" s="15">
        <f t="shared" si="10"/>
        <v>1703</v>
      </c>
      <c r="F70" s="21">
        <f t="shared" si="11"/>
        <v>2</v>
      </c>
      <c r="G70" s="21">
        <f t="shared" si="12"/>
        <v>999.55</v>
      </c>
      <c r="H70" s="21" cm="1">
        <f t="array" ref="H70">INDEX(Turnover_Bands_Min, $D70)</f>
        <v>25000000</v>
      </c>
      <c r="I70" s="21">
        <f t="shared" si="14"/>
        <v>65000000</v>
      </c>
      <c r="J70" s="22">
        <f t="shared" si="13"/>
        <v>10.81</v>
      </c>
      <c r="K70" s="88">
        <f t="shared" si="15"/>
        <v>702.65</v>
      </c>
    </row>
    <row r="71" spans="1:11" x14ac:dyDescent="0.3">
      <c r="A71" s="104">
        <v>70</v>
      </c>
      <c r="B71" s="102">
        <v>95000000</v>
      </c>
      <c r="C71" s="103" t="s">
        <v>46</v>
      </c>
      <c r="D71" s="23" cm="1">
        <f t="array" ref="D71">_xlfn.IFS(B71&lt;=1000000,1,B71&lt;=5000000,2,B71&lt;=25000000,3,B71&lt;=100000000,4,B71&lt;=500000000,5,B71&lt;=2000000000,6,B71&gt;2000000000,7)</f>
        <v>4</v>
      </c>
      <c r="E71" s="15">
        <f t="shared" si="10"/>
        <v>1757</v>
      </c>
      <c r="F71" s="21">
        <f t="shared" si="11"/>
        <v>2</v>
      </c>
      <c r="G71" s="21">
        <f t="shared" si="12"/>
        <v>999.55</v>
      </c>
      <c r="H71" s="21" cm="1">
        <f t="array" ref="H71">INDEX(Turnover_Bands_Min, $D71)</f>
        <v>25000000</v>
      </c>
      <c r="I71" s="21">
        <f t="shared" si="14"/>
        <v>70000000</v>
      </c>
      <c r="J71" s="22">
        <f t="shared" si="13"/>
        <v>10.81</v>
      </c>
      <c r="K71" s="88">
        <f t="shared" si="15"/>
        <v>756.7</v>
      </c>
    </row>
    <row r="72" spans="1:11" x14ac:dyDescent="0.3">
      <c r="A72" s="104">
        <v>71</v>
      </c>
      <c r="B72" s="105">
        <v>100000000</v>
      </c>
      <c r="C72" s="103" t="s">
        <v>46</v>
      </c>
      <c r="D72" s="23" cm="1">
        <f t="array" ref="D72">_xlfn.IFS(B72&lt;=1000000,1,B72&lt;=5000000,2,B72&lt;=25000000,3,B72&lt;=100000000,4,B72&lt;=500000000,5,B72&lt;=2000000000,6,B72&gt;2000000000,7)</f>
        <v>4</v>
      </c>
      <c r="E72" s="15">
        <f t="shared" si="10"/>
        <v>1811</v>
      </c>
      <c r="F72" s="21">
        <f t="shared" si="11"/>
        <v>2</v>
      </c>
      <c r="G72" s="21">
        <f t="shared" si="12"/>
        <v>999.55</v>
      </c>
      <c r="H72" s="21" cm="1">
        <f t="array" ref="H72">INDEX(Turnover_Bands_Min, $D72)</f>
        <v>25000000</v>
      </c>
      <c r="I72" s="21">
        <f t="shared" si="14"/>
        <v>75000000</v>
      </c>
      <c r="J72" s="22">
        <f t="shared" si="13"/>
        <v>10.81</v>
      </c>
      <c r="K72" s="88">
        <f t="shared" si="15"/>
        <v>810.75</v>
      </c>
    </row>
    <row r="73" spans="1:11" x14ac:dyDescent="0.3">
      <c r="A73" s="104">
        <v>72</v>
      </c>
      <c r="B73" s="102">
        <v>125000000</v>
      </c>
      <c r="C73" s="103" t="s">
        <v>46</v>
      </c>
      <c r="D73" s="23" cm="1">
        <f t="array" ref="D73">_xlfn.IFS(B73&lt;=1000000,1,B73&lt;=5000000,2,B73&lt;=25000000,3,B73&lt;=100000000,4,B73&lt;=500000000,5,B73&lt;=2000000000,6,B73&gt;2000000000,7)</f>
        <v>5</v>
      </c>
      <c r="E73" s="15">
        <f t="shared" si="10"/>
        <v>1974</v>
      </c>
      <c r="F73" s="21">
        <f t="shared" si="11"/>
        <v>2</v>
      </c>
      <c r="G73" s="21">
        <f t="shared" si="12"/>
        <v>1811.03</v>
      </c>
      <c r="H73" s="21" cm="1">
        <f t="array" ref="H73">INDEX(Turnover_Bands_Min, $D73)</f>
        <v>100000000</v>
      </c>
      <c r="I73" s="21">
        <f t="shared" si="14"/>
        <v>25000000</v>
      </c>
      <c r="J73" s="22">
        <f t="shared" si="13"/>
        <v>6.48</v>
      </c>
      <c r="K73" s="88">
        <f t="shared" si="15"/>
        <v>162</v>
      </c>
    </row>
    <row r="74" spans="1:11" x14ac:dyDescent="0.3">
      <c r="A74" s="104">
        <v>73</v>
      </c>
      <c r="B74" s="105">
        <v>150000000</v>
      </c>
      <c r="C74" s="103" t="s">
        <v>46</v>
      </c>
      <c r="D74" s="23" cm="1">
        <f t="array" ref="D74">_xlfn.IFS(B74&lt;=1000000,1,B74&lt;=5000000,2,B74&lt;=25000000,3,B74&lt;=100000000,4,B74&lt;=500000000,5,B74&lt;=2000000000,6,B74&gt;2000000000,7)</f>
        <v>5</v>
      </c>
      <c r="E74" s="15">
        <f t="shared" si="10"/>
        <v>2136</v>
      </c>
      <c r="F74" s="21">
        <f t="shared" si="11"/>
        <v>2</v>
      </c>
      <c r="G74" s="21">
        <f t="shared" si="12"/>
        <v>1811.03</v>
      </c>
      <c r="H74" s="21" cm="1">
        <f t="array" ref="H74">INDEX(Turnover_Bands_Min, $D74)</f>
        <v>100000000</v>
      </c>
      <c r="I74" s="21">
        <f t="shared" si="14"/>
        <v>50000000</v>
      </c>
      <c r="J74" s="22">
        <f t="shared" si="13"/>
        <v>6.48</v>
      </c>
      <c r="K74" s="88">
        <f t="shared" si="15"/>
        <v>324</v>
      </c>
    </row>
    <row r="75" spans="1:11" x14ac:dyDescent="0.3">
      <c r="A75" s="104">
        <v>74</v>
      </c>
      <c r="B75" s="102">
        <v>175000000</v>
      </c>
      <c r="C75" s="103" t="s">
        <v>46</v>
      </c>
      <c r="D75" s="23" cm="1">
        <f t="array" ref="D75">_xlfn.IFS(B75&lt;=1000000,1,B75&lt;=5000000,2,B75&lt;=25000000,3,B75&lt;=100000000,4,B75&lt;=500000000,5,B75&lt;=2000000000,6,B75&gt;2000000000,7)</f>
        <v>5</v>
      </c>
      <c r="E75" s="15">
        <f t="shared" si="10"/>
        <v>2298</v>
      </c>
      <c r="F75" s="21">
        <f t="shared" si="11"/>
        <v>2</v>
      </c>
      <c r="G75" s="21">
        <f t="shared" si="12"/>
        <v>1811.03</v>
      </c>
      <c r="H75" s="21" cm="1">
        <f t="array" ref="H75">INDEX(Turnover_Bands_Min, $D75)</f>
        <v>100000000</v>
      </c>
      <c r="I75" s="21">
        <f t="shared" si="14"/>
        <v>75000000</v>
      </c>
      <c r="J75" s="22">
        <f t="shared" si="13"/>
        <v>6.48</v>
      </c>
      <c r="K75" s="88">
        <f t="shared" si="15"/>
        <v>486.00000000000006</v>
      </c>
    </row>
    <row r="76" spans="1:11" x14ac:dyDescent="0.3">
      <c r="A76" s="104">
        <v>75</v>
      </c>
      <c r="B76" s="105">
        <v>200000000</v>
      </c>
      <c r="C76" s="103" t="s">
        <v>46</v>
      </c>
      <c r="D76" s="23" cm="1">
        <f t="array" ref="D76">_xlfn.IFS(B76&lt;=1000000,1,B76&lt;=5000000,2,B76&lt;=25000000,3,B76&lt;=100000000,4,B76&lt;=500000000,5,B76&lt;=2000000000,6,B76&gt;2000000000,7)</f>
        <v>5</v>
      </c>
      <c r="E76" s="15">
        <f t="shared" si="10"/>
        <v>2460</v>
      </c>
      <c r="F76" s="21">
        <f t="shared" si="11"/>
        <v>2</v>
      </c>
      <c r="G76" s="21">
        <f t="shared" si="12"/>
        <v>1811.03</v>
      </c>
      <c r="H76" s="21" cm="1">
        <f t="array" ref="H76">INDEX(Turnover_Bands_Min, $D76)</f>
        <v>100000000</v>
      </c>
      <c r="I76" s="21">
        <f t="shared" si="14"/>
        <v>100000000</v>
      </c>
      <c r="J76" s="22">
        <f t="shared" si="13"/>
        <v>6.48</v>
      </c>
      <c r="K76" s="88">
        <f t="shared" si="15"/>
        <v>648</v>
      </c>
    </row>
    <row r="77" spans="1:11" x14ac:dyDescent="0.3">
      <c r="A77" s="104">
        <v>76</v>
      </c>
      <c r="B77" s="102">
        <v>225000000</v>
      </c>
      <c r="C77" s="103" t="s">
        <v>46</v>
      </c>
      <c r="D77" s="23" cm="1">
        <f t="array" ref="D77">_xlfn.IFS(B77&lt;=1000000,1,B77&lt;=5000000,2,B77&lt;=25000000,3,B77&lt;=100000000,4,B77&lt;=500000000,5,B77&lt;=2000000000,6,B77&gt;2000000000,7)</f>
        <v>5</v>
      </c>
      <c r="E77" s="15">
        <f t="shared" si="10"/>
        <v>2622</v>
      </c>
      <c r="F77" s="21">
        <f t="shared" si="11"/>
        <v>2</v>
      </c>
      <c r="G77" s="21">
        <f t="shared" si="12"/>
        <v>1811.03</v>
      </c>
      <c r="H77" s="21" cm="1">
        <f t="array" ref="H77">INDEX(Turnover_Bands_Min, $D77)</f>
        <v>100000000</v>
      </c>
      <c r="I77" s="21">
        <f t="shared" si="14"/>
        <v>125000000</v>
      </c>
      <c r="J77" s="22">
        <f t="shared" si="13"/>
        <v>6.48</v>
      </c>
      <c r="K77" s="88">
        <f t="shared" si="15"/>
        <v>810</v>
      </c>
    </row>
    <row r="78" spans="1:11" x14ac:dyDescent="0.3">
      <c r="A78" s="104">
        <v>77</v>
      </c>
      <c r="B78" s="105">
        <v>250000000</v>
      </c>
      <c r="C78" s="103" t="s">
        <v>46</v>
      </c>
      <c r="D78" s="23" cm="1">
        <f t="array" ref="D78">_xlfn.IFS(B78&lt;=1000000,1,B78&lt;=5000000,2,B78&lt;=25000000,3,B78&lt;=100000000,4,B78&lt;=500000000,5,B78&lt;=2000000000,6,B78&gt;2000000000,7)</f>
        <v>5</v>
      </c>
      <c r="E78" s="15">
        <f t="shared" si="10"/>
        <v>2784</v>
      </c>
      <c r="F78" s="21">
        <f t="shared" si="11"/>
        <v>2</v>
      </c>
      <c r="G78" s="21">
        <f t="shared" si="12"/>
        <v>1811.03</v>
      </c>
      <c r="H78" s="21" cm="1">
        <f t="array" ref="H78">INDEX(Turnover_Bands_Min, $D78)</f>
        <v>100000000</v>
      </c>
      <c r="I78" s="21">
        <f t="shared" si="14"/>
        <v>150000000</v>
      </c>
      <c r="J78" s="22">
        <f t="shared" si="13"/>
        <v>6.48</v>
      </c>
      <c r="K78" s="88">
        <f t="shared" si="15"/>
        <v>972.00000000000011</v>
      </c>
    </row>
    <row r="79" spans="1:11" x14ac:dyDescent="0.3">
      <c r="A79" s="104">
        <v>78</v>
      </c>
      <c r="B79" s="102">
        <v>275000000</v>
      </c>
      <c r="C79" s="103" t="s">
        <v>46</v>
      </c>
      <c r="D79" s="23" cm="1">
        <f t="array" ref="D79">_xlfn.IFS(B79&lt;=1000000,1,B79&lt;=5000000,2,B79&lt;=25000000,3,B79&lt;=100000000,4,B79&lt;=500000000,5,B79&lt;=2000000000,6,B79&gt;2000000000,7)</f>
        <v>5</v>
      </c>
      <c r="E79" s="15">
        <f t="shared" si="10"/>
        <v>2946</v>
      </c>
      <c r="F79" s="21">
        <f t="shared" si="11"/>
        <v>2</v>
      </c>
      <c r="G79" s="21">
        <f t="shared" si="12"/>
        <v>1811.03</v>
      </c>
      <c r="H79" s="21" cm="1">
        <f t="array" ref="H79">INDEX(Turnover_Bands_Min, $D79)</f>
        <v>100000000</v>
      </c>
      <c r="I79" s="21">
        <f t="shared" si="14"/>
        <v>175000000</v>
      </c>
      <c r="J79" s="22">
        <f t="shared" si="13"/>
        <v>6.48</v>
      </c>
      <c r="K79" s="88">
        <f t="shared" si="15"/>
        <v>1134</v>
      </c>
    </row>
    <row r="80" spans="1:11" x14ac:dyDescent="0.3">
      <c r="A80" s="104">
        <v>79</v>
      </c>
      <c r="B80" s="105">
        <v>300000000</v>
      </c>
      <c r="C80" s="103" t="s">
        <v>46</v>
      </c>
      <c r="D80" s="23" cm="1">
        <f t="array" ref="D80">_xlfn.IFS(B80&lt;=1000000,1,B80&lt;=5000000,2,B80&lt;=25000000,3,B80&lt;=100000000,4,B80&lt;=500000000,5,B80&lt;=2000000000,6,B80&gt;2000000000,7)</f>
        <v>5</v>
      </c>
      <c r="E80" s="15">
        <f t="shared" si="10"/>
        <v>3108</v>
      </c>
      <c r="F80" s="21">
        <f t="shared" si="11"/>
        <v>2</v>
      </c>
      <c r="G80" s="21">
        <f t="shared" si="12"/>
        <v>1811.03</v>
      </c>
      <c r="H80" s="21" cm="1">
        <f t="array" ref="H80">INDEX(Turnover_Bands_Min, $D80)</f>
        <v>100000000</v>
      </c>
      <c r="I80" s="21">
        <f t="shared" si="14"/>
        <v>200000000</v>
      </c>
      <c r="J80" s="22">
        <f t="shared" si="13"/>
        <v>6.48</v>
      </c>
      <c r="K80" s="88">
        <f t="shared" si="15"/>
        <v>1296</v>
      </c>
    </row>
    <row r="81" spans="1:11" x14ac:dyDescent="0.3">
      <c r="A81" s="104">
        <v>80</v>
      </c>
      <c r="B81" s="102">
        <v>325000000</v>
      </c>
      <c r="C81" s="103" t="s">
        <v>46</v>
      </c>
      <c r="D81" s="23" cm="1">
        <f t="array" ref="D81">_xlfn.IFS(B81&lt;=1000000,1,B81&lt;=5000000,2,B81&lt;=25000000,3,B81&lt;=100000000,4,B81&lt;=500000000,5,B81&lt;=2000000000,6,B81&gt;2000000000,7)</f>
        <v>5</v>
      </c>
      <c r="E81" s="15">
        <f t="shared" si="10"/>
        <v>3270</v>
      </c>
      <c r="F81" s="21">
        <f t="shared" si="11"/>
        <v>2</v>
      </c>
      <c r="G81" s="21">
        <f t="shared" si="12"/>
        <v>1811.03</v>
      </c>
      <c r="H81" s="21" cm="1">
        <f t="array" ref="H81">INDEX(Turnover_Bands_Min, $D81)</f>
        <v>100000000</v>
      </c>
      <c r="I81" s="21">
        <f t="shared" si="14"/>
        <v>225000000</v>
      </c>
      <c r="J81" s="22">
        <f t="shared" si="13"/>
        <v>6.48</v>
      </c>
      <c r="K81" s="88">
        <f t="shared" si="15"/>
        <v>1458</v>
      </c>
    </row>
    <row r="82" spans="1:11" x14ac:dyDescent="0.3">
      <c r="A82" s="104">
        <v>81</v>
      </c>
      <c r="B82" s="105">
        <v>350000000</v>
      </c>
      <c r="C82" s="103" t="s">
        <v>46</v>
      </c>
      <c r="D82" s="23" cm="1">
        <f t="array" ref="D82">_xlfn.IFS(B82&lt;=1000000,1,B82&lt;=5000000,2,B82&lt;=25000000,3,B82&lt;=100000000,4,B82&lt;=500000000,5,B82&lt;=2000000000,6,B82&gt;2000000000,7)</f>
        <v>5</v>
      </c>
      <c r="E82" s="15">
        <f t="shared" si="10"/>
        <v>3432</v>
      </c>
      <c r="F82" s="21">
        <f t="shared" si="11"/>
        <v>2</v>
      </c>
      <c r="G82" s="21">
        <f t="shared" si="12"/>
        <v>1811.03</v>
      </c>
      <c r="H82" s="21" cm="1">
        <f t="array" ref="H82">INDEX(Turnover_Bands_Min, $D82)</f>
        <v>100000000</v>
      </c>
      <c r="I82" s="21">
        <f t="shared" si="14"/>
        <v>250000000</v>
      </c>
      <c r="J82" s="22">
        <f t="shared" si="13"/>
        <v>6.48</v>
      </c>
      <c r="K82" s="88">
        <f t="shared" si="15"/>
        <v>1620</v>
      </c>
    </row>
    <row r="83" spans="1:11" x14ac:dyDescent="0.3">
      <c r="A83" s="104">
        <v>82</v>
      </c>
      <c r="B83" s="102">
        <v>375000000</v>
      </c>
      <c r="C83" s="103" t="s">
        <v>46</v>
      </c>
      <c r="D83" s="23" cm="1">
        <f t="array" ref="D83">_xlfn.IFS(B83&lt;=1000000,1,B83&lt;=5000000,2,B83&lt;=25000000,3,B83&lt;=100000000,4,B83&lt;=500000000,5,B83&lt;=2000000000,6,B83&gt;2000000000,7)</f>
        <v>5</v>
      </c>
      <c r="E83" s="15">
        <f t="shared" si="10"/>
        <v>3594</v>
      </c>
      <c r="F83" s="21">
        <f t="shared" si="11"/>
        <v>2</v>
      </c>
      <c r="G83" s="21">
        <f t="shared" si="12"/>
        <v>1811.03</v>
      </c>
      <c r="H83" s="21" cm="1">
        <f t="array" ref="H83">INDEX(Turnover_Bands_Min, $D83)</f>
        <v>100000000</v>
      </c>
      <c r="I83" s="21">
        <f t="shared" si="14"/>
        <v>275000000</v>
      </c>
      <c r="J83" s="22">
        <f t="shared" si="13"/>
        <v>6.48</v>
      </c>
      <c r="K83" s="88">
        <f t="shared" si="15"/>
        <v>1782.0000000000002</v>
      </c>
    </row>
    <row r="84" spans="1:11" x14ac:dyDescent="0.3">
      <c r="A84" s="104">
        <v>83</v>
      </c>
      <c r="B84" s="105">
        <v>400000000</v>
      </c>
      <c r="C84" s="103" t="s">
        <v>46</v>
      </c>
      <c r="D84" s="23" cm="1">
        <f t="array" ref="D84">_xlfn.IFS(B84&lt;=1000000,1,B84&lt;=5000000,2,B84&lt;=25000000,3,B84&lt;=100000000,4,B84&lt;=500000000,5,B84&lt;=2000000000,6,B84&gt;2000000000,7)</f>
        <v>5</v>
      </c>
      <c r="E84" s="15">
        <f t="shared" si="10"/>
        <v>3756</v>
      </c>
      <c r="F84" s="21">
        <f t="shared" si="11"/>
        <v>2</v>
      </c>
      <c r="G84" s="21">
        <f t="shared" si="12"/>
        <v>1811.03</v>
      </c>
      <c r="H84" s="21" cm="1">
        <f t="array" ref="H84">INDEX(Turnover_Bands_Min, $D84)</f>
        <v>100000000</v>
      </c>
      <c r="I84" s="21">
        <f t="shared" si="14"/>
        <v>300000000</v>
      </c>
      <c r="J84" s="22">
        <f t="shared" si="13"/>
        <v>6.48</v>
      </c>
      <c r="K84" s="88">
        <f t="shared" si="15"/>
        <v>1944.0000000000002</v>
      </c>
    </row>
    <row r="85" spans="1:11" x14ac:dyDescent="0.3">
      <c r="A85" s="104">
        <v>84</v>
      </c>
      <c r="B85" s="102">
        <v>425000000</v>
      </c>
      <c r="C85" s="103" t="s">
        <v>46</v>
      </c>
      <c r="D85" s="23" cm="1">
        <f t="array" ref="D85">_xlfn.IFS(B85&lt;=1000000,1,B85&lt;=5000000,2,B85&lt;=25000000,3,B85&lt;=100000000,4,B85&lt;=500000000,5,B85&lt;=2000000000,6,B85&gt;2000000000,7)</f>
        <v>5</v>
      </c>
      <c r="E85" s="15">
        <f t="shared" si="10"/>
        <v>3918</v>
      </c>
      <c r="F85" s="21">
        <f t="shared" si="11"/>
        <v>2</v>
      </c>
      <c r="G85" s="21">
        <f t="shared" si="12"/>
        <v>1811.03</v>
      </c>
      <c r="H85" s="21" cm="1">
        <f t="array" ref="H85">INDEX(Turnover_Bands_Min, $D85)</f>
        <v>100000000</v>
      </c>
      <c r="I85" s="21">
        <f t="shared" si="14"/>
        <v>325000000</v>
      </c>
      <c r="J85" s="22">
        <f t="shared" si="13"/>
        <v>6.48</v>
      </c>
      <c r="K85" s="88">
        <f t="shared" si="15"/>
        <v>2106</v>
      </c>
    </row>
    <row r="86" spans="1:11" x14ac:dyDescent="0.3">
      <c r="A86" s="104">
        <v>85</v>
      </c>
      <c r="B86" s="105">
        <v>450000000</v>
      </c>
      <c r="C86" s="103" t="s">
        <v>46</v>
      </c>
      <c r="D86" s="23" cm="1">
        <f t="array" ref="D86">_xlfn.IFS(B86&lt;=1000000,1,B86&lt;=5000000,2,B86&lt;=25000000,3,B86&lt;=100000000,4,B86&lt;=500000000,5,B86&lt;=2000000000,6,B86&gt;2000000000,7)</f>
        <v>5</v>
      </c>
      <c r="E86" s="15">
        <f t="shared" si="10"/>
        <v>4080</v>
      </c>
      <c r="F86" s="21">
        <f t="shared" si="11"/>
        <v>2</v>
      </c>
      <c r="G86" s="21">
        <f t="shared" si="12"/>
        <v>1811.03</v>
      </c>
      <c r="H86" s="21" cm="1">
        <f t="array" ref="H86">INDEX(Turnover_Bands_Min, $D86)</f>
        <v>100000000</v>
      </c>
      <c r="I86" s="21">
        <f t="shared" si="14"/>
        <v>350000000</v>
      </c>
      <c r="J86" s="22">
        <f t="shared" si="13"/>
        <v>6.48</v>
      </c>
      <c r="K86" s="88">
        <f t="shared" si="15"/>
        <v>2268</v>
      </c>
    </row>
    <row r="87" spans="1:11" x14ac:dyDescent="0.3">
      <c r="A87" s="104">
        <v>86</v>
      </c>
      <c r="B87" s="102">
        <v>475000000</v>
      </c>
      <c r="C87" s="103" t="s">
        <v>46</v>
      </c>
      <c r="D87" s="23" cm="1">
        <f t="array" ref="D87">_xlfn.IFS(B87&lt;=1000000,1,B87&lt;=5000000,2,B87&lt;=25000000,3,B87&lt;=100000000,4,B87&lt;=500000000,5,B87&lt;=2000000000,6,B87&gt;2000000000,7)</f>
        <v>5</v>
      </c>
      <c r="E87" s="15">
        <f t="shared" si="10"/>
        <v>4242</v>
      </c>
      <c r="F87" s="21">
        <f t="shared" si="11"/>
        <v>2</v>
      </c>
      <c r="G87" s="21">
        <f t="shared" si="12"/>
        <v>1811.03</v>
      </c>
      <c r="H87" s="21" cm="1">
        <f t="array" ref="H87">INDEX(Turnover_Bands_Min, $D87)</f>
        <v>100000000</v>
      </c>
      <c r="I87" s="21">
        <f t="shared" si="14"/>
        <v>375000000</v>
      </c>
      <c r="J87" s="22">
        <f t="shared" si="13"/>
        <v>6.48</v>
      </c>
      <c r="K87" s="88">
        <f t="shared" si="15"/>
        <v>2430</v>
      </c>
    </row>
    <row r="88" spans="1:11" x14ac:dyDescent="0.3">
      <c r="A88" s="104">
        <v>87</v>
      </c>
      <c r="B88" s="105">
        <v>500000000</v>
      </c>
      <c r="C88" s="103" t="s">
        <v>46</v>
      </c>
      <c r="D88" s="23" cm="1">
        <f t="array" ref="D88">_xlfn.IFS(B88&lt;=1000000,1,B88&lt;=5000000,2,B88&lt;=25000000,3,B88&lt;=100000000,4,B88&lt;=500000000,5,B88&lt;=2000000000,6,B88&gt;2000000000,7)</f>
        <v>5</v>
      </c>
      <c r="E88" s="15">
        <f t="shared" si="10"/>
        <v>4404</v>
      </c>
      <c r="F88" s="21">
        <f t="shared" si="11"/>
        <v>2</v>
      </c>
      <c r="G88" s="21">
        <f t="shared" si="12"/>
        <v>1811.03</v>
      </c>
      <c r="H88" s="21" cm="1">
        <f t="array" ref="H88">INDEX(Turnover_Bands_Min, $D88)</f>
        <v>100000000</v>
      </c>
      <c r="I88" s="21">
        <f t="shared" si="14"/>
        <v>400000000</v>
      </c>
      <c r="J88" s="22">
        <f t="shared" si="13"/>
        <v>6.48</v>
      </c>
      <c r="K88" s="88">
        <f t="shared" si="15"/>
        <v>2592</v>
      </c>
    </row>
    <row r="89" spans="1:11" x14ac:dyDescent="0.3">
      <c r="A89" s="104">
        <v>88</v>
      </c>
      <c r="B89" s="102">
        <v>525000000</v>
      </c>
      <c r="C89" s="103" t="s">
        <v>46</v>
      </c>
      <c r="D89" s="23" cm="1">
        <f t="array" ref="D89">_xlfn.IFS(B89&lt;=1000000,1,B89&lt;=5000000,2,B89&lt;=25000000,3,B89&lt;=100000000,4,B89&lt;=500000000,5,B89&lt;=2000000000,6,B89&gt;2000000000,7)</f>
        <v>6</v>
      </c>
      <c r="E89" s="15">
        <f t="shared" si="10"/>
        <v>4538</v>
      </c>
      <c r="F89" s="21">
        <f t="shared" si="11"/>
        <v>2</v>
      </c>
      <c r="G89" s="21">
        <f t="shared" si="12"/>
        <v>4402.1899999999996</v>
      </c>
      <c r="H89" s="21" cm="1">
        <f t="array" ref="H89">INDEX(Turnover_Bands_Min, $D89)</f>
        <v>500000000</v>
      </c>
      <c r="I89" s="21">
        <f t="shared" si="14"/>
        <v>25000000</v>
      </c>
      <c r="J89" s="22">
        <f t="shared" si="13"/>
        <v>5.4</v>
      </c>
      <c r="K89" s="88">
        <f t="shared" si="15"/>
        <v>135</v>
      </c>
    </row>
    <row r="90" spans="1:11" x14ac:dyDescent="0.3">
      <c r="A90" s="104">
        <v>89</v>
      </c>
      <c r="B90" s="105">
        <v>550000000</v>
      </c>
      <c r="C90" s="103" t="s">
        <v>46</v>
      </c>
      <c r="D90" s="23" cm="1">
        <f t="array" ref="D90">_xlfn.IFS(B90&lt;=1000000,1,B90&lt;=5000000,2,B90&lt;=25000000,3,B90&lt;=100000000,4,B90&lt;=500000000,5,B90&lt;=2000000000,6,B90&gt;2000000000,7)</f>
        <v>6</v>
      </c>
      <c r="E90" s="15">
        <f t="shared" si="10"/>
        <v>4673</v>
      </c>
      <c r="F90" s="21">
        <f t="shared" si="11"/>
        <v>2</v>
      </c>
      <c r="G90" s="21">
        <f t="shared" si="12"/>
        <v>4402.1899999999996</v>
      </c>
      <c r="H90" s="21" cm="1">
        <f t="array" ref="H90">INDEX(Turnover_Bands_Min, $D90)</f>
        <v>500000000</v>
      </c>
      <c r="I90" s="21">
        <f t="shared" si="14"/>
        <v>50000000</v>
      </c>
      <c r="J90" s="22">
        <f t="shared" si="13"/>
        <v>5.4</v>
      </c>
      <c r="K90" s="88">
        <f t="shared" si="15"/>
        <v>270</v>
      </c>
    </row>
    <row r="91" spans="1:11" x14ac:dyDescent="0.3">
      <c r="A91" s="104">
        <v>90</v>
      </c>
      <c r="B91" s="102">
        <v>575000000</v>
      </c>
      <c r="C91" s="103" t="s">
        <v>46</v>
      </c>
      <c r="D91" s="23" cm="1">
        <f t="array" ref="D91">_xlfn.IFS(B91&lt;=1000000,1,B91&lt;=5000000,2,B91&lt;=25000000,3,B91&lt;=100000000,4,B91&lt;=500000000,5,B91&lt;=2000000000,6,B91&gt;2000000000,7)</f>
        <v>6</v>
      </c>
      <c r="E91" s="15">
        <f t="shared" si="10"/>
        <v>4808</v>
      </c>
      <c r="F91" s="21">
        <f t="shared" si="11"/>
        <v>2</v>
      </c>
      <c r="G91" s="21">
        <f t="shared" si="12"/>
        <v>4402.1899999999996</v>
      </c>
      <c r="H91" s="21" cm="1">
        <f t="array" ref="H91">INDEX(Turnover_Bands_Min, $D91)</f>
        <v>500000000</v>
      </c>
      <c r="I91" s="21">
        <f t="shared" si="14"/>
        <v>75000000</v>
      </c>
      <c r="J91" s="22">
        <f t="shared" si="13"/>
        <v>5.4</v>
      </c>
      <c r="K91" s="88">
        <f t="shared" si="15"/>
        <v>405</v>
      </c>
    </row>
    <row r="92" spans="1:11" x14ac:dyDescent="0.3">
      <c r="A92" s="104">
        <v>91</v>
      </c>
      <c r="B92" s="105">
        <v>600000000</v>
      </c>
      <c r="C92" s="103" t="s">
        <v>46</v>
      </c>
      <c r="D92" s="23" cm="1">
        <f t="array" ref="D92">_xlfn.IFS(B92&lt;=1000000,1,B92&lt;=5000000,2,B92&lt;=25000000,3,B92&lt;=100000000,4,B92&lt;=500000000,5,B92&lt;=2000000000,6,B92&gt;2000000000,7)</f>
        <v>6</v>
      </c>
      <c r="E92" s="15">
        <f t="shared" si="10"/>
        <v>4943</v>
      </c>
      <c r="F92" s="21">
        <f t="shared" si="11"/>
        <v>2</v>
      </c>
      <c r="G92" s="21">
        <f t="shared" si="12"/>
        <v>4402.1899999999996</v>
      </c>
      <c r="H92" s="21" cm="1">
        <f t="array" ref="H92">INDEX(Turnover_Bands_Min, $D92)</f>
        <v>500000000</v>
      </c>
      <c r="I92" s="21">
        <f t="shared" si="14"/>
        <v>100000000</v>
      </c>
      <c r="J92" s="22">
        <f t="shared" si="13"/>
        <v>5.4</v>
      </c>
      <c r="K92" s="88">
        <f t="shared" si="15"/>
        <v>540</v>
      </c>
    </row>
    <row r="93" spans="1:11" x14ac:dyDescent="0.3">
      <c r="A93" s="104">
        <v>92</v>
      </c>
      <c r="B93" s="102">
        <v>625000000</v>
      </c>
      <c r="C93" s="103" t="s">
        <v>46</v>
      </c>
      <c r="D93" s="23" cm="1">
        <f t="array" ref="D93">_xlfn.IFS(B93&lt;=1000000,1,B93&lt;=5000000,2,B93&lt;=25000000,3,B93&lt;=100000000,4,B93&lt;=500000000,5,B93&lt;=2000000000,6,B93&gt;2000000000,7)</f>
        <v>6</v>
      </c>
      <c r="E93" s="15">
        <f t="shared" si="10"/>
        <v>5078</v>
      </c>
      <c r="F93" s="21">
        <f t="shared" si="11"/>
        <v>2</v>
      </c>
      <c r="G93" s="21">
        <f t="shared" si="12"/>
        <v>4402.1899999999996</v>
      </c>
      <c r="H93" s="21" cm="1">
        <f t="array" ref="H93">INDEX(Turnover_Bands_Min, $D93)</f>
        <v>500000000</v>
      </c>
      <c r="I93" s="21">
        <f t="shared" si="14"/>
        <v>125000000</v>
      </c>
      <c r="J93" s="22">
        <f t="shared" si="13"/>
        <v>5.4</v>
      </c>
      <c r="K93" s="88">
        <f t="shared" si="15"/>
        <v>675</v>
      </c>
    </row>
    <row r="94" spans="1:11" x14ac:dyDescent="0.3">
      <c r="A94" s="104">
        <v>93</v>
      </c>
      <c r="B94" s="105">
        <v>650000000</v>
      </c>
      <c r="C94" s="103" t="s">
        <v>46</v>
      </c>
      <c r="D94" s="23" cm="1">
        <f t="array" ref="D94">_xlfn.IFS(B94&lt;=1000000,1,B94&lt;=5000000,2,B94&lt;=25000000,3,B94&lt;=100000000,4,B94&lt;=500000000,5,B94&lt;=2000000000,6,B94&gt;2000000000,7)</f>
        <v>6</v>
      </c>
      <c r="E94" s="15">
        <f t="shared" si="10"/>
        <v>5213</v>
      </c>
      <c r="F94" s="21">
        <f t="shared" si="11"/>
        <v>2</v>
      </c>
      <c r="G94" s="21">
        <f t="shared" si="12"/>
        <v>4402.1899999999996</v>
      </c>
      <c r="H94" s="21" cm="1">
        <f t="array" ref="H94">INDEX(Turnover_Bands_Min, $D94)</f>
        <v>500000000</v>
      </c>
      <c r="I94" s="21">
        <f t="shared" si="14"/>
        <v>150000000</v>
      </c>
      <c r="J94" s="22">
        <f t="shared" si="13"/>
        <v>5.4</v>
      </c>
      <c r="K94" s="88">
        <f t="shared" si="15"/>
        <v>810</v>
      </c>
    </row>
    <row r="95" spans="1:11" x14ac:dyDescent="0.3">
      <c r="A95" s="104">
        <v>94</v>
      </c>
      <c r="B95" s="102">
        <v>675000000</v>
      </c>
      <c r="C95" s="103" t="s">
        <v>46</v>
      </c>
      <c r="D95" s="23" cm="1">
        <f t="array" ref="D95">_xlfn.IFS(B95&lt;=1000000,1,B95&lt;=5000000,2,B95&lt;=25000000,3,B95&lt;=100000000,4,B95&lt;=500000000,5,B95&lt;=2000000000,6,B95&gt;2000000000,7)</f>
        <v>6</v>
      </c>
      <c r="E95" s="15">
        <f t="shared" si="10"/>
        <v>5348</v>
      </c>
      <c r="F95" s="21">
        <f t="shared" si="11"/>
        <v>2</v>
      </c>
      <c r="G95" s="21">
        <f t="shared" si="12"/>
        <v>4402.1899999999996</v>
      </c>
      <c r="H95" s="21" cm="1">
        <f t="array" ref="H95">INDEX(Turnover_Bands_Min, $D95)</f>
        <v>500000000</v>
      </c>
      <c r="I95" s="21">
        <f t="shared" si="14"/>
        <v>175000000</v>
      </c>
      <c r="J95" s="22">
        <f t="shared" si="13"/>
        <v>5.4</v>
      </c>
      <c r="K95" s="88">
        <f t="shared" si="15"/>
        <v>945.00000000000011</v>
      </c>
    </row>
    <row r="96" spans="1:11" x14ac:dyDescent="0.3">
      <c r="A96" s="104">
        <v>95</v>
      </c>
      <c r="B96" s="105">
        <v>700000000</v>
      </c>
      <c r="C96" s="103" t="s">
        <v>46</v>
      </c>
      <c r="D96" s="23" cm="1">
        <f t="array" ref="D96">_xlfn.IFS(B96&lt;=1000000,1,B96&lt;=5000000,2,B96&lt;=25000000,3,B96&lt;=100000000,4,B96&lt;=500000000,5,B96&lt;=2000000000,6,B96&gt;2000000000,7)</f>
        <v>6</v>
      </c>
      <c r="E96" s="15">
        <f t="shared" si="10"/>
        <v>5483</v>
      </c>
      <c r="F96" s="21">
        <f t="shared" si="11"/>
        <v>2</v>
      </c>
      <c r="G96" s="21">
        <f t="shared" si="12"/>
        <v>4402.1899999999996</v>
      </c>
      <c r="H96" s="21" cm="1">
        <f t="array" ref="H96">INDEX(Turnover_Bands_Min, $D96)</f>
        <v>500000000</v>
      </c>
      <c r="I96" s="21">
        <f t="shared" si="14"/>
        <v>200000000</v>
      </c>
      <c r="J96" s="22">
        <f t="shared" si="13"/>
        <v>5.4</v>
      </c>
      <c r="K96" s="88">
        <f t="shared" si="15"/>
        <v>1080</v>
      </c>
    </row>
    <row r="97" spans="1:11" x14ac:dyDescent="0.3">
      <c r="A97" s="104">
        <v>96</v>
      </c>
      <c r="B97" s="102">
        <v>725000000</v>
      </c>
      <c r="C97" s="103" t="s">
        <v>46</v>
      </c>
      <c r="D97" s="23" cm="1">
        <f t="array" ref="D97">_xlfn.IFS(B97&lt;=1000000,1,B97&lt;=5000000,2,B97&lt;=25000000,3,B97&lt;=100000000,4,B97&lt;=500000000,5,B97&lt;=2000000000,6,B97&gt;2000000000,7)</f>
        <v>6</v>
      </c>
      <c r="E97" s="15">
        <f t="shared" si="10"/>
        <v>5618</v>
      </c>
      <c r="F97" s="21">
        <f t="shared" si="11"/>
        <v>2</v>
      </c>
      <c r="G97" s="21">
        <f t="shared" si="12"/>
        <v>4402.1899999999996</v>
      </c>
      <c r="H97" s="21" cm="1">
        <f t="array" ref="H97">INDEX(Turnover_Bands_Min, $D97)</f>
        <v>500000000</v>
      </c>
      <c r="I97" s="21">
        <f t="shared" si="14"/>
        <v>225000000</v>
      </c>
      <c r="J97" s="22">
        <f t="shared" si="13"/>
        <v>5.4</v>
      </c>
      <c r="K97" s="88">
        <f t="shared" si="15"/>
        <v>1215</v>
      </c>
    </row>
    <row r="98" spans="1:11" x14ac:dyDescent="0.3">
      <c r="A98" s="104">
        <v>97</v>
      </c>
      <c r="B98" s="105">
        <v>750000000</v>
      </c>
      <c r="C98" s="103" t="s">
        <v>46</v>
      </c>
      <c r="D98" s="23" cm="1">
        <f t="array" ref="D98">_xlfn.IFS(B98&lt;=1000000,1,B98&lt;=5000000,2,B98&lt;=25000000,3,B98&lt;=100000000,4,B98&lt;=500000000,5,B98&lt;=2000000000,6,B98&gt;2000000000,7)</f>
        <v>6</v>
      </c>
      <c r="E98" s="15">
        <f t="shared" ref="E98:E100" si="16">ROUNDUP(MAX(G98 + K98, Min_CoC_Fee),0)</f>
        <v>5753</v>
      </c>
      <c r="F98" s="21">
        <f t="shared" si="11"/>
        <v>2</v>
      </c>
      <c r="G98" s="21">
        <f t="shared" si="12"/>
        <v>4402.1899999999996</v>
      </c>
      <c r="H98" s="21" cm="1">
        <f t="array" ref="H98">INDEX(Turnover_Bands_Min, $D98)</f>
        <v>500000000</v>
      </c>
      <c r="I98" s="21">
        <f t="shared" si="14"/>
        <v>250000000</v>
      </c>
      <c r="J98" s="22">
        <f t="shared" si="13"/>
        <v>5.4</v>
      </c>
      <c r="K98" s="88">
        <f t="shared" si="15"/>
        <v>1350</v>
      </c>
    </row>
    <row r="99" spans="1:11" x14ac:dyDescent="0.3">
      <c r="A99" s="104">
        <v>98</v>
      </c>
      <c r="B99" s="102">
        <v>775000000</v>
      </c>
      <c r="C99" s="103" t="s">
        <v>46</v>
      </c>
      <c r="D99" s="23" cm="1">
        <f t="array" ref="D99">_xlfn.IFS(B99&lt;=1000000,1,B99&lt;=5000000,2,B99&lt;=25000000,3,B99&lt;=100000000,4,B99&lt;=500000000,5,B99&lt;=2000000000,6,B99&gt;2000000000,7)</f>
        <v>6</v>
      </c>
      <c r="E99" s="15">
        <f t="shared" si="16"/>
        <v>5888</v>
      </c>
      <c r="F99" s="21">
        <f t="shared" si="11"/>
        <v>2</v>
      </c>
      <c r="G99" s="21">
        <f t="shared" si="12"/>
        <v>4402.1899999999996</v>
      </c>
      <c r="H99" s="21" cm="1">
        <f t="array" ref="H99">INDEX(Turnover_Bands_Min, $D99)</f>
        <v>500000000</v>
      </c>
      <c r="I99" s="21">
        <f t="shared" si="14"/>
        <v>275000000</v>
      </c>
      <c r="J99" s="22">
        <f t="shared" si="13"/>
        <v>5.4</v>
      </c>
      <c r="K99" s="88">
        <f t="shared" si="15"/>
        <v>1485</v>
      </c>
    </row>
    <row r="100" spans="1:11" x14ac:dyDescent="0.3">
      <c r="A100" s="104">
        <v>99</v>
      </c>
      <c r="B100" s="105">
        <v>800000000</v>
      </c>
      <c r="C100" s="103" t="s">
        <v>46</v>
      </c>
      <c r="D100" s="23" cm="1">
        <f t="array" ref="D100">_xlfn.IFS(B100&lt;=1000000,1,B100&lt;=5000000,2,B100&lt;=25000000,3,B100&lt;=100000000,4,B100&lt;=500000000,5,B100&lt;=2000000000,6,B100&gt;2000000000,7)</f>
        <v>6</v>
      </c>
      <c r="E100" s="15">
        <f t="shared" si="16"/>
        <v>6023</v>
      </c>
      <c r="F100" s="21">
        <f t="shared" si="11"/>
        <v>2</v>
      </c>
      <c r="G100" s="21">
        <f t="shared" si="12"/>
        <v>4402.1899999999996</v>
      </c>
      <c r="H100" s="21" cm="1">
        <f t="array" ref="H100">INDEX(Turnover_Bands_Min, $D100)</f>
        <v>500000000</v>
      </c>
      <c r="I100" s="21">
        <f t="shared" si="14"/>
        <v>300000000</v>
      </c>
      <c r="J100" s="22">
        <f t="shared" si="13"/>
        <v>5.4</v>
      </c>
      <c r="K100" s="88">
        <f t="shared" si="15"/>
        <v>1620</v>
      </c>
    </row>
  </sheetData>
  <sheetProtection insertRows="0" deleteRows="0"/>
  <dataValidations count="1">
    <dataValidation type="list" allowBlank="1" showInputMessage="1" showErrorMessage="1" sqref="C2:C100" xr:uid="{BDD6C8CE-76E7-4F91-96AF-45B8605D0D61}">
      <formula1>CoC_Cert_Types</formula1>
    </dataValidation>
  </dataValidations>
  <pageMargins left="0.7" right="0.7" top="0.75" bottom="0.75" header="0.3" footer="0.3"/>
  <pageSetup paperSize="9" orientation="portrait" horizont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8D0AB-44CC-471B-958E-F5E8085861DB}">
  <sheetPr>
    <tabColor theme="4" tint="-0.499984740745262"/>
  </sheetPr>
  <dimension ref="A1:S51"/>
  <sheetViews>
    <sheetView zoomScaleNormal="100" workbookViewId="0">
      <pane ySplit="1" topLeftCell="A2" activePane="bottomLeft" state="frozen"/>
      <selection pane="bottomLeft" activeCell="Q2" sqref="Q2:Q51"/>
    </sheetView>
  </sheetViews>
  <sheetFormatPr defaultColWidth="9" defaultRowHeight="13.8" x14ac:dyDescent="0.25"/>
  <cols>
    <col min="1" max="1" width="7" style="39" customWidth="1"/>
    <col min="2" max="2" width="10" style="40" customWidth="1"/>
    <col min="3" max="4" width="14.5546875" style="29" customWidth="1"/>
    <col min="5" max="6" width="9.109375" style="28" customWidth="1"/>
    <col min="7" max="7" width="11.109375" style="29" customWidth="1"/>
    <col min="8" max="8" width="11.44140625" style="30" customWidth="1"/>
    <col min="9" max="9" width="9.88671875" style="30" customWidth="1"/>
    <col min="10" max="10" width="11" style="30" bestFit="1" customWidth="1"/>
    <col min="11" max="11" width="11.44140625" style="30" customWidth="1"/>
    <col min="12" max="12" width="12.6640625" style="30" customWidth="1"/>
    <col min="13" max="13" width="12.88671875" style="30" customWidth="1"/>
    <col min="14" max="14" width="10.88671875" style="31" customWidth="1"/>
    <col min="15" max="15" width="11.109375" style="31" customWidth="1"/>
    <col min="16" max="16" width="12.109375" style="30" customWidth="1"/>
    <col min="17" max="17" width="12.88671875" style="30" customWidth="1"/>
    <col min="18" max="18" width="9" style="2"/>
    <col min="19" max="19" width="39" style="2" bestFit="1" customWidth="1"/>
    <col min="20" max="16384" width="9" style="2"/>
  </cols>
  <sheetData>
    <row r="1" spans="1:19" ht="25.95" customHeight="1" x14ac:dyDescent="0.3">
      <c r="A1" s="24" t="s">
        <v>77</v>
      </c>
      <c r="B1" s="41" t="s">
        <v>67</v>
      </c>
      <c r="C1" s="43" t="s">
        <v>88</v>
      </c>
      <c r="D1" s="43" t="s">
        <v>89</v>
      </c>
      <c r="E1" s="42" t="s">
        <v>90</v>
      </c>
      <c r="F1" s="42" t="s">
        <v>91</v>
      </c>
      <c r="G1" s="43" t="s">
        <v>80</v>
      </c>
      <c r="H1" s="62" t="s">
        <v>92</v>
      </c>
      <c r="I1" s="44" t="s">
        <v>93</v>
      </c>
      <c r="J1" s="62" t="s">
        <v>94</v>
      </c>
      <c r="K1" s="44" t="s">
        <v>95</v>
      </c>
      <c r="L1" s="62" t="s">
        <v>96</v>
      </c>
      <c r="M1" s="44" t="s">
        <v>97</v>
      </c>
      <c r="N1" s="63" t="s">
        <v>98</v>
      </c>
      <c r="O1" s="45" t="s">
        <v>99</v>
      </c>
      <c r="P1" s="44" t="s">
        <v>100</v>
      </c>
      <c r="Q1" s="44" t="s">
        <v>101</v>
      </c>
      <c r="S1" s="60" t="s">
        <v>85</v>
      </c>
    </row>
    <row r="2" spans="1:19" x14ac:dyDescent="0.3">
      <c r="A2" s="25">
        <v>1</v>
      </c>
      <c r="B2" s="26">
        <v>100</v>
      </c>
      <c r="C2" s="27">
        <v>500000000</v>
      </c>
      <c r="D2" s="27">
        <v>20000000</v>
      </c>
      <c r="E2" s="28" cm="1">
        <f t="array" ref="E2">IF(C2 &gt; 0, _xlfn.IFS(C2&lt;=1000000,1,C2&lt;=5000000,2,C2&lt;=25000000,3,C2&lt;=100000000,4,C2&lt;=500000000,5,C2&lt;=2000000000,6,C2&gt;2000000000,7), 0)</f>
        <v>5</v>
      </c>
      <c r="F2" s="28" cm="1">
        <f t="array" ref="F2">IF(D2 &gt; 0, _xlfn.IFS(D2&lt;=1000000,1,D2&lt;=5000000,2,D2&lt;=25000000,3,D2&lt;=100000000,4,D2&lt;=500000000,5,D2&lt;=2000000000,6,D2&gt;2000000000,7), 0)</f>
        <v>3</v>
      </c>
      <c r="G2" s="29">
        <f t="shared" ref="G2:G33" si="0">ROUNDUP(MAX((H2 + I2 + P2 + Q2), Min_CoC_Fee) + B2 * CoC_Group_Member_Charge,0)</f>
        <v>17532</v>
      </c>
      <c r="H2" s="22">
        <f t="shared" ref="H2:H33" si="1">IF(E2 &gt; 0, VLOOKUP(E2, Base_Costs_Lookup, 2), 0)</f>
        <v>6027.48</v>
      </c>
      <c r="I2" s="22">
        <f t="shared" ref="I2:I51" si="2">IF(F2 &gt; 0, VLOOKUP(F2, Base_Costs_Lookup, 3), 0)</f>
        <v>458.56</v>
      </c>
      <c r="J2" s="21" cm="1">
        <f t="array" ref="J2">IF(E2 &gt; 0, INDEX(Turnover_Bands_Min, E2), 0)</f>
        <v>100000000</v>
      </c>
      <c r="K2" s="21" cm="1">
        <f t="array" ref="K2">IF(F2 &gt; 0, INDEX(Turnover_Bands_Min, F2), 0)</f>
        <v>5000000</v>
      </c>
      <c r="L2" s="30">
        <f>C2 - J2</f>
        <v>400000000</v>
      </c>
      <c r="M2" s="30">
        <f>D2 - K2</f>
        <v>15000000</v>
      </c>
      <c r="N2" s="31">
        <f t="shared" ref="N2:N33" si="3">IF(E2 &gt; 0, VLOOKUP(E2, Variable_Costs_Lookup, 2), 0)</f>
        <v>21.6</v>
      </c>
      <c r="O2" s="31">
        <f t="shared" ref="O2:O33" si="4">IF(F2 &gt; 0, VLOOKUP(F2, Variable_Costs_Lookup, 3), 0)</f>
        <v>27.01</v>
      </c>
      <c r="P2" s="31">
        <f>ROUNDUP(L2 / 1000000 * N2, 2)</f>
        <v>8640</v>
      </c>
      <c r="Q2" s="31">
        <f>ROUNDUP(M2 / 1000000 * O2, 2)</f>
        <v>405.15</v>
      </c>
      <c r="S2" s="61" t="s">
        <v>102</v>
      </c>
    </row>
    <row r="3" spans="1:19" x14ac:dyDescent="0.3">
      <c r="A3" s="32">
        <v>2</v>
      </c>
      <c r="B3" s="33">
        <v>5</v>
      </c>
      <c r="C3" s="34">
        <v>175000</v>
      </c>
      <c r="D3" s="34"/>
      <c r="E3" s="28" cm="1">
        <f t="array" ref="E3">IF(C3 &gt; 0, _xlfn.IFS(C3&lt;=1000000,1,C3&lt;=5000000,2,C3&lt;=25000000,3,C3&lt;=100000000,4,C3&lt;=500000000,5,C3&lt;=2000000000,6,C3&gt;2000000000,7), 0)</f>
        <v>1</v>
      </c>
      <c r="F3" s="28" cm="1">
        <f t="array" ref="F3">IF(D3 &gt; 0, _xlfn.IFS(D3&lt;=1000000,1,D3&lt;=5000000,2,D3&lt;=25000000,3,D3&lt;=100000000,4,D3&lt;=500000000,5,D3&lt;=2000000000,6,D3&gt;2000000000,7), 0)</f>
        <v>0</v>
      </c>
      <c r="G3" s="29">
        <f t="shared" si="0"/>
        <v>216</v>
      </c>
      <c r="H3" s="22">
        <f t="shared" si="1"/>
        <v>0</v>
      </c>
      <c r="I3" s="22">
        <f t="shared" si="2"/>
        <v>0</v>
      </c>
      <c r="J3" s="21" cm="1">
        <f t="array" ref="J3">IF(E3 &gt; 0, INDEX(Turnover_Bands_Min, E3), 0)</f>
        <v>0</v>
      </c>
      <c r="K3" s="21" cm="1">
        <f t="array" ref="K3">IF(F3 &gt; 0, INDEX(Turnover_Bands_Min, F3), 0)</f>
        <v>0</v>
      </c>
      <c r="L3" s="30">
        <f t="shared" ref="L3:L51" si="5">C3 - J3</f>
        <v>175000</v>
      </c>
      <c r="M3" s="30">
        <f t="shared" ref="M3:M51" si="6">D3 - K3</f>
        <v>0</v>
      </c>
      <c r="N3" s="31">
        <f t="shared" si="3"/>
        <v>660.21</v>
      </c>
      <c r="O3" s="31">
        <f t="shared" si="4"/>
        <v>0</v>
      </c>
      <c r="P3" s="31">
        <f t="shared" ref="P3:P51" si="7">ROUNDUP(L3 / 1000000 * N3, 2)</f>
        <v>115.54</v>
      </c>
      <c r="Q3" s="31">
        <f t="shared" ref="Q3:Q51" si="8">ROUNDUP(M3 / 1000000 * O3, 2)</f>
        <v>0</v>
      </c>
      <c r="S3" s="61" t="s">
        <v>87</v>
      </c>
    </row>
    <row r="4" spans="1:19" x14ac:dyDescent="0.3">
      <c r="A4" s="32">
        <v>3</v>
      </c>
      <c r="B4" s="33">
        <v>10</v>
      </c>
      <c r="C4" s="34"/>
      <c r="D4" s="34">
        <v>275000</v>
      </c>
      <c r="E4" s="28" cm="1">
        <f t="array" ref="E4">IF(C4 &gt; 0, _xlfn.IFS(C4&lt;=1000000,1,C4&lt;=5000000,2,C4&lt;=25000000,3,C4&lt;=100000000,4,C4&lt;=500000000,5,C4&lt;=2000000000,6,C4&gt;2000000000,7), 0)</f>
        <v>0</v>
      </c>
      <c r="F4" s="28" cm="1">
        <f t="array" ref="F4">IF(D4 &gt; 0, _xlfn.IFS(D4&lt;=1000000,1,D4&lt;=5000000,2,D4&lt;=25000000,3,D4&lt;=100000000,4,D4&lt;=500000000,5,D4&lt;=2000000000,6,D4&gt;2000000000,7), 0)</f>
        <v>1</v>
      </c>
      <c r="G4" s="29">
        <f t="shared" si="0"/>
        <v>297</v>
      </c>
      <c r="H4" s="22">
        <f t="shared" si="1"/>
        <v>0</v>
      </c>
      <c r="I4" s="22">
        <f t="shared" si="2"/>
        <v>0</v>
      </c>
      <c r="J4" s="21" cm="1">
        <f t="array" ref="J4">IF(E4 &gt; 0, INDEX(Turnover_Bands_Min, E4), 0)</f>
        <v>0</v>
      </c>
      <c r="K4" s="21" cm="1">
        <f t="array" ref="K4">IF(F4 &gt; 0, INDEX(Turnover_Bands_Min, F4), 0)</f>
        <v>0</v>
      </c>
      <c r="L4" s="30">
        <f t="shared" si="5"/>
        <v>0</v>
      </c>
      <c r="M4" s="30">
        <f t="shared" si="6"/>
        <v>275000</v>
      </c>
      <c r="N4" s="31">
        <f t="shared" si="3"/>
        <v>0</v>
      </c>
      <c r="O4" s="31">
        <f t="shared" si="4"/>
        <v>198.06</v>
      </c>
      <c r="P4" s="31">
        <f t="shared" si="7"/>
        <v>0</v>
      </c>
      <c r="Q4" s="31">
        <f t="shared" si="8"/>
        <v>54.47</v>
      </c>
    </row>
    <row r="5" spans="1:19" x14ac:dyDescent="0.3">
      <c r="A5" s="32">
        <v>4</v>
      </c>
      <c r="B5" s="33">
        <v>15</v>
      </c>
      <c r="C5" s="34">
        <v>375000</v>
      </c>
      <c r="D5" s="34">
        <v>375000</v>
      </c>
      <c r="E5" s="28" cm="1">
        <f t="array" ref="E5">IF(C5 &gt; 0, _xlfn.IFS(C5&lt;=1000000,1,C5&lt;=5000000,2,C5&lt;=25000000,3,C5&lt;=100000000,4,C5&lt;=500000000,5,C5&lt;=2000000000,6,C5&gt;2000000000,7), 0)</f>
        <v>1</v>
      </c>
      <c r="F5" s="28" cm="1">
        <f t="array" ref="F5">IF(D5 &gt; 0, _xlfn.IFS(D5&lt;=1000000,1,D5&lt;=5000000,2,D5&lt;=25000000,3,D5&lt;=100000000,4,D5&lt;=500000000,5,D5&lt;=2000000000,6,D5&gt;2000000000,7), 0)</f>
        <v>1</v>
      </c>
      <c r="G5" s="29">
        <f t="shared" si="0"/>
        <v>622</v>
      </c>
      <c r="H5" s="22">
        <f t="shared" si="1"/>
        <v>0</v>
      </c>
      <c r="I5" s="22">
        <f t="shared" si="2"/>
        <v>0</v>
      </c>
      <c r="J5" s="21" cm="1">
        <f t="array" ref="J5">IF(E5 &gt; 0, INDEX(Turnover_Bands_Min, E5), 0)</f>
        <v>0</v>
      </c>
      <c r="K5" s="21" cm="1">
        <f t="array" ref="K5">IF(F5 &gt; 0, INDEX(Turnover_Bands_Min, F5), 0)</f>
        <v>0</v>
      </c>
      <c r="L5" s="30">
        <f t="shared" si="5"/>
        <v>375000</v>
      </c>
      <c r="M5" s="30">
        <f t="shared" si="6"/>
        <v>375000</v>
      </c>
      <c r="N5" s="31">
        <f t="shared" si="3"/>
        <v>660.21</v>
      </c>
      <c r="O5" s="31">
        <f t="shared" si="4"/>
        <v>198.06</v>
      </c>
      <c r="P5" s="31">
        <f t="shared" si="7"/>
        <v>247.57999999999998</v>
      </c>
      <c r="Q5" s="31">
        <f t="shared" si="8"/>
        <v>74.28</v>
      </c>
    </row>
    <row r="6" spans="1:19" x14ac:dyDescent="0.3">
      <c r="A6" s="32">
        <v>5</v>
      </c>
      <c r="B6" s="33">
        <v>20</v>
      </c>
      <c r="C6" s="34">
        <v>475000</v>
      </c>
      <c r="D6" s="34"/>
      <c r="E6" s="28" cm="1">
        <f t="array" ref="E6">IF(C6 &gt; 0, _xlfn.IFS(C6&lt;=1000000,1,C6&lt;=5000000,2,C6&lt;=25000000,3,C6&lt;=100000000,4,C6&lt;=500000000,5,C6&lt;=2000000000,6,C6&gt;2000000000,7), 0)</f>
        <v>1</v>
      </c>
      <c r="F6" s="28" cm="1">
        <f t="array" ref="F6">IF(D6 &gt; 0, _xlfn.IFS(D6&lt;=1000000,1,D6&lt;=5000000,2,D6&lt;=25000000,3,D6&lt;=100000000,4,D6&lt;=500000000,5,D6&lt;=2000000000,6,D6&gt;2000000000,7), 0)</f>
        <v>0</v>
      </c>
      <c r="G6" s="29">
        <f t="shared" si="0"/>
        <v>714</v>
      </c>
      <c r="H6" s="22">
        <f t="shared" si="1"/>
        <v>0</v>
      </c>
      <c r="I6" s="22">
        <f t="shared" si="2"/>
        <v>0</v>
      </c>
      <c r="J6" s="21" cm="1">
        <f t="array" ref="J6">IF(E6 &gt; 0, INDEX(Turnover_Bands_Min, E6), 0)</f>
        <v>0</v>
      </c>
      <c r="K6" s="21" cm="1">
        <f t="array" ref="K6">IF(F6 &gt; 0, INDEX(Turnover_Bands_Min, F6), 0)</f>
        <v>0</v>
      </c>
      <c r="L6" s="30">
        <f t="shared" si="5"/>
        <v>475000</v>
      </c>
      <c r="M6" s="30">
        <f t="shared" si="6"/>
        <v>0</v>
      </c>
      <c r="N6" s="31">
        <f t="shared" si="3"/>
        <v>660.21</v>
      </c>
      <c r="O6" s="31">
        <f t="shared" si="4"/>
        <v>0</v>
      </c>
      <c r="P6" s="31">
        <f t="shared" si="7"/>
        <v>313.59999999999997</v>
      </c>
      <c r="Q6" s="31">
        <f t="shared" si="8"/>
        <v>0</v>
      </c>
    </row>
    <row r="7" spans="1:19" x14ac:dyDescent="0.3">
      <c r="A7" s="32">
        <v>6</v>
      </c>
      <c r="B7" s="33">
        <v>25</v>
      </c>
      <c r="C7" s="34"/>
      <c r="D7" s="34">
        <v>575000</v>
      </c>
      <c r="E7" s="28" cm="1">
        <f t="array" ref="E7">IF(C7 &gt; 0, _xlfn.IFS(C7&lt;=1000000,1,C7&lt;=5000000,2,C7&lt;=25000000,3,C7&lt;=100000000,4,C7&lt;=500000000,5,C7&lt;=2000000000,6,C7&gt;2000000000,7), 0)</f>
        <v>0</v>
      </c>
      <c r="F7" s="28" cm="1">
        <f t="array" ref="F7">IF(D7 &gt; 0, _xlfn.IFS(D7&lt;=1000000,1,D7&lt;=5000000,2,D7&lt;=25000000,3,D7&lt;=100000000,4,D7&lt;=500000000,5,D7&lt;=2000000000,6,D7&gt;2000000000,7), 0)</f>
        <v>1</v>
      </c>
      <c r="G7" s="29">
        <f t="shared" si="0"/>
        <v>614</v>
      </c>
      <c r="H7" s="22">
        <f t="shared" si="1"/>
        <v>0</v>
      </c>
      <c r="I7" s="22">
        <f t="shared" si="2"/>
        <v>0</v>
      </c>
      <c r="J7" s="21" cm="1">
        <f t="array" ref="J7">IF(E7 &gt; 0, INDEX(Turnover_Bands_Min, E7), 0)</f>
        <v>0</v>
      </c>
      <c r="K7" s="21" cm="1">
        <f t="array" ref="K7">IF(F7 &gt; 0, INDEX(Turnover_Bands_Min, F7), 0)</f>
        <v>0</v>
      </c>
      <c r="L7" s="30">
        <f t="shared" si="5"/>
        <v>0</v>
      </c>
      <c r="M7" s="30">
        <f t="shared" si="6"/>
        <v>575000</v>
      </c>
      <c r="N7" s="31">
        <f t="shared" si="3"/>
        <v>0</v>
      </c>
      <c r="O7" s="31">
        <f t="shared" si="4"/>
        <v>198.06</v>
      </c>
      <c r="P7" s="31">
        <f t="shared" si="7"/>
        <v>0</v>
      </c>
      <c r="Q7" s="31">
        <f t="shared" si="8"/>
        <v>113.89</v>
      </c>
    </row>
    <row r="8" spans="1:19" x14ac:dyDescent="0.3">
      <c r="A8" s="32">
        <v>7</v>
      </c>
      <c r="B8" s="33">
        <v>30</v>
      </c>
      <c r="C8" s="34">
        <v>675000</v>
      </c>
      <c r="D8" s="34">
        <v>675000</v>
      </c>
      <c r="E8" s="28" cm="1">
        <f t="array" ref="E8">IF(C8 &gt; 0, _xlfn.IFS(C8&lt;=1000000,1,C8&lt;=5000000,2,C8&lt;=25000000,3,C8&lt;=100000000,4,C8&lt;=500000000,5,C8&lt;=2000000000,6,C8&gt;2000000000,7), 0)</f>
        <v>1</v>
      </c>
      <c r="F8" s="28" cm="1">
        <f t="array" ref="F8">IF(D8 &gt; 0, _xlfn.IFS(D8&lt;=1000000,1,D8&lt;=5000000,2,D8&lt;=25000000,3,D8&lt;=100000000,4,D8&lt;=500000000,5,D8&lt;=2000000000,6,D8&gt;2000000000,7), 0)</f>
        <v>1</v>
      </c>
      <c r="G8" s="29">
        <f t="shared" si="0"/>
        <v>1180</v>
      </c>
      <c r="H8" s="22">
        <f t="shared" si="1"/>
        <v>0</v>
      </c>
      <c r="I8" s="22">
        <f t="shared" si="2"/>
        <v>0</v>
      </c>
      <c r="J8" s="21" cm="1">
        <f t="array" ref="J8">IF(E8 &gt; 0, INDEX(Turnover_Bands_Min, E8), 0)</f>
        <v>0</v>
      </c>
      <c r="K8" s="21" cm="1">
        <f t="array" ref="K8">IF(F8 &gt; 0, INDEX(Turnover_Bands_Min, F8), 0)</f>
        <v>0</v>
      </c>
      <c r="L8" s="30">
        <f t="shared" si="5"/>
        <v>675000</v>
      </c>
      <c r="M8" s="30">
        <f t="shared" si="6"/>
        <v>675000</v>
      </c>
      <c r="N8" s="31">
        <f t="shared" si="3"/>
        <v>660.21</v>
      </c>
      <c r="O8" s="31">
        <f t="shared" si="4"/>
        <v>198.06</v>
      </c>
      <c r="P8" s="31">
        <f t="shared" si="7"/>
        <v>445.65</v>
      </c>
      <c r="Q8" s="31">
        <f t="shared" si="8"/>
        <v>133.69999999999999</v>
      </c>
    </row>
    <row r="9" spans="1:19" x14ac:dyDescent="0.3">
      <c r="A9" s="32">
        <v>8</v>
      </c>
      <c r="B9" s="33">
        <v>35</v>
      </c>
      <c r="C9" s="34">
        <v>775000</v>
      </c>
      <c r="D9" s="34"/>
      <c r="E9" s="28" cm="1">
        <f t="array" ref="E9">IF(C9 &gt; 0, _xlfn.IFS(C9&lt;=1000000,1,C9&lt;=5000000,2,C9&lt;=25000000,3,C9&lt;=100000000,4,C9&lt;=500000000,5,C9&lt;=2000000000,6,C9&gt;2000000000,7), 0)</f>
        <v>1</v>
      </c>
      <c r="F9" s="28" cm="1">
        <f t="array" ref="F9">IF(D9 &gt; 0, _xlfn.IFS(D9&lt;=1000000,1,D9&lt;=5000000,2,D9&lt;=25000000,3,D9&lt;=100000000,4,D9&lt;=500000000,5,D9&lt;=2000000000,6,D9&gt;2000000000,7), 0)</f>
        <v>0</v>
      </c>
      <c r="G9" s="29">
        <f t="shared" si="0"/>
        <v>1212</v>
      </c>
      <c r="H9" s="22">
        <f t="shared" si="1"/>
        <v>0</v>
      </c>
      <c r="I9" s="22">
        <f t="shared" si="2"/>
        <v>0</v>
      </c>
      <c r="J9" s="21" cm="1">
        <f t="array" ref="J9">IF(E9 &gt; 0, INDEX(Turnover_Bands_Min, E9), 0)</f>
        <v>0</v>
      </c>
      <c r="K9" s="21" cm="1">
        <f t="array" ref="K9">IF(F9 &gt; 0, INDEX(Turnover_Bands_Min, F9), 0)</f>
        <v>0</v>
      </c>
      <c r="L9" s="30">
        <f t="shared" si="5"/>
        <v>775000</v>
      </c>
      <c r="M9" s="30">
        <f t="shared" si="6"/>
        <v>0</v>
      </c>
      <c r="N9" s="31">
        <f t="shared" si="3"/>
        <v>660.21</v>
      </c>
      <c r="O9" s="31">
        <f t="shared" si="4"/>
        <v>0</v>
      </c>
      <c r="P9" s="31">
        <f t="shared" si="7"/>
        <v>511.67</v>
      </c>
      <c r="Q9" s="31">
        <f t="shared" si="8"/>
        <v>0</v>
      </c>
    </row>
    <row r="10" spans="1:19" x14ac:dyDescent="0.3">
      <c r="A10" s="32">
        <v>9</v>
      </c>
      <c r="B10" s="33">
        <v>40</v>
      </c>
      <c r="C10" s="34"/>
      <c r="D10" s="34">
        <v>875000</v>
      </c>
      <c r="E10" s="28" cm="1">
        <f t="array" ref="E10">IF(C10 &gt; 0, _xlfn.IFS(C10&lt;=1000000,1,C10&lt;=5000000,2,C10&lt;=25000000,3,C10&lt;=100000000,4,C10&lt;=500000000,5,C10&lt;=2000000000,6,C10&gt;2000000000,7), 0)</f>
        <v>0</v>
      </c>
      <c r="F10" s="28" cm="1">
        <f t="array" ref="F10">IF(D10 &gt; 0, _xlfn.IFS(D10&lt;=1000000,1,D10&lt;=5000000,2,D10&lt;=25000000,3,D10&lt;=100000000,4,D10&lt;=500000000,5,D10&lt;=2000000000,6,D10&gt;2000000000,7), 0)</f>
        <v>1</v>
      </c>
      <c r="G10" s="29">
        <f t="shared" si="0"/>
        <v>974</v>
      </c>
      <c r="H10" s="22">
        <f t="shared" si="1"/>
        <v>0</v>
      </c>
      <c r="I10" s="22">
        <f t="shared" si="2"/>
        <v>0</v>
      </c>
      <c r="J10" s="21" cm="1">
        <f t="array" ref="J10">IF(E10 &gt; 0, INDEX(Turnover_Bands_Min, E10), 0)</f>
        <v>0</v>
      </c>
      <c r="K10" s="21" cm="1">
        <f t="array" ref="K10">IF(F10 &gt; 0, INDEX(Turnover_Bands_Min, F10), 0)</f>
        <v>0</v>
      </c>
      <c r="L10" s="30">
        <f t="shared" si="5"/>
        <v>0</v>
      </c>
      <c r="M10" s="30">
        <f t="shared" si="6"/>
        <v>875000</v>
      </c>
      <c r="N10" s="31">
        <f t="shared" si="3"/>
        <v>0</v>
      </c>
      <c r="O10" s="31">
        <f t="shared" si="4"/>
        <v>198.06</v>
      </c>
      <c r="P10" s="31">
        <f t="shared" si="7"/>
        <v>0</v>
      </c>
      <c r="Q10" s="31">
        <f t="shared" si="8"/>
        <v>173.31</v>
      </c>
    </row>
    <row r="11" spans="1:19" x14ac:dyDescent="0.3">
      <c r="A11" s="32">
        <v>10</v>
      </c>
      <c r="B11" s="33">
        <v>45</v>
      </c>
      <c r="C11" s="34">
        <v>975000</v>
      </c>
      <c r="D11" s="34">
        <v>975000</v>
      </c>
      <c r="E11" s="28" cm="1">
        <f t="array" ref="E11">IF(C11 &gt; 0, _xlfn.IFS(C11&lt;=1000000,1,C11&lt;=5000000,2,C11&lt;=25000000,3,C11&lt;=100000000,4,C11&lt;=500000000,5,C11&lt;=2000000000,6,C11&gt;2000000000,7), 0)</f>
        <v>1</v>
      </c>
      <c r="F11" s="28" cm="1">
        <f t="array" ref="F11">IF(D11 &gt; 0, _xlfn.IFS(D11&lt;=1000000,1,D11&lt;=5000000,2,D11&lt;=25000000,3,D11&lt;=100000000,4,D11&lt;=500000000,5,D11&lt;=2000000000,6,D11&gt;2000000000,7), 0)</f>
        <v>1</v>
      </c>
      <c r="G11" s="29">
        <f t="shared" si="0"/>
        <v>1737</v>
      </c>
      <c r="H11" s="22">
        <f t="shared" si="1"/>
        <v>0</v>
      </c>
      <c r="I11" s="22">
        <f t="shared" si="2"/>
        <v>0</v>
      </c>
      <c r="J11" s="21" cm="1">
        <f t="array" ref="J11">IF(E11 &gt; 0, INDEX(Turnover_Bands_Min, E11), 0)</f>
        <v>0</v>
      </c>
      <c r="K11" s="21" cm="1">
        <f t="array" ref="K11">IF(F11 &gt; 0, INDEX(Turnover_Bands_Min, F11), 0)</f>
        <v>0</v>
      </c>
      <c r="L11" s="30">
        <f t="shared" si="5"/>
        <v>975000</v>
      </c>
      <c r="M11" s="30">
        <f t="shared" si="6"/>
        <v>975000</v>
      </c>
      <c r="N11" s="31">
        <f t="shared" si="3"/>
        <v>660.21</v>
      </c>
      <c r="O11" s="31">
        <f t="shared" si="4"/>
        <v>198.06</v>
      </c>
      <c r="P11" s="31">
        <f t="shared" si="7"/>
        <v>643.71</v>
      </c>
      <c r="Q11" s="31">
        <f t="shared" si="8"/>
        <v>193.10999999999999</v>
      </c>
    </row>
    <row r="12" spans="1:19" x14ac:dyDescent="0.3">
      <c r="A12" s="32">
        <v>11</v>
      </c>
      <c r="B12" s="33">
        <v>50</v>
      </c>
      <c r="C12" s="34">
        <v>1075000</v>
      </c>
      <c r="D12" s="34"/>
      <c r="E12" s="28" cm="1">
        <f t="array" ref="E12">IF(C12 &gt; 0, _xlfn.IFS(C12&lt;=1000000,1,C12&lt;=5000000,2,C12&lt;=25000000,3,C12&lt;=100000000,4,C12&lt;=500000000,5,C12&lt;=2000000000,6,C12&gt;2000000000,7), 0)</f>
        <v>2</v>
      </c>
      <c r="F12" s="28" cm="1">
        <f t="array" ref="F12">IF(D12 &gt; 0, _xlfn.IFS(D12&lt;=1000000,1,D12&lt;=5000000,2,D12&lt;=25000000,3,D12&lt;=100000000,4,D12&lt;=500000000,5,D12&lt;=2000000000,6,D12&gt;2000000000,7), 0)</f>
        <v>0</v>
      </c>
      <c r="G12" s="29">
        <f t="shared" si="0"/>
        <v>1677</v>
      </c>
      <c r="H12" s="22">
        <f t="shared" si="1"/>
        <v>660.56</v>
      </c>
      <c r="I12" s="22">
        <f t="shared" si="2"/>
        <v>0</v>
      </c>
      <c r="J12" s="21" cm="1">
        <f t="array" ref="J12">IF(E12 &gt; 0, INDEX(Turnover_Bands_Min, E12), 0)</f>
        <v>1000000</v>
      </c>
      <c r="K12" s="21" cm="1">
        <f t="array" ref="K12">IF(F12 &gt; 0, INDEX(Turnover_Bands_Min, F12), 0)</f>
        <v>0</v>
      </c>
      <c r="L12" s="30">
        <f t="shared" si="5"/>
        <v>75000</v>
      </c>
      <c r="M12" s="30">
        <f t="shared" si="6"/>
        <v>0</v>
      </c>
      <c r="N12" s="31">
        <f t="shared" si="3"/>
        <v>216.07</v>
      </c>
      <c r="O12" s="31">
        <f t="shared" si="4"/>
        <v>0</v>
      </c>
      <c r="P12" s="31">
        <f t="shared" si="7"/>
        <v>16.21</v>
      </c>
      <c r="Q12" s="31">
        <f t="shared" si="8"/>
        <v>0</v>
      </c>
    </row>
    <row r="13" spans="1:19" x14ac:dyDescent="0.3">
      <c r="A13" s="32">
        <v>12</v>
      </c>
      <c r="B13" s="33">
        <v>55</v>
      </c>
      <c r="C13" s="34"/>
      <c r="D13" s="34">
        <v>1175000</v>
      </c>
      <c r="E13" s="28" cm="1">
        <f t="array" ref="E13">IF(C13 &gt; 0, _xlfn.IFS(C13&lt;=1000000,1,C13&lt;=5000000,2,C13&lt;=25000000,3,C13&lt;=100000000,4,C13&lt;=500000000,5,C13&lt;=2000000000,6,C13&gt;2000000000,7), 0)</f>
        <v>0</v>
      </c>
      <c r="F13" s="28" cm="1">
        <f t="array" ref="F13">IF(D13 &gt; 0, _xlfn.IFS(D13&lt;=1000000,1,D13&lt;=5000000,2,D13&lt;=25000000,3,D13&lt;=100000000,4,D13&lt;=500000000,5,D13&lt;=2000000000,6,D13&gt;2000000000,7), 0)</f>
        <v>2</v>
      </c>
      <c r="G13" s="29">
        <f t="shared" si="0"/>
        <v>1310</v>
      </c>
      <c r="H13" s="22">
        <f t="shared" si="1"/>
        <v>0</v>
      </c>
      <c r="I13" s="22">
        <f t="shared" si="2"/>
        <v>198.52</v>
      </c>
      <c r="J13" s="21" cm="1">
        <f t="array" ref="J13">IF(E13 &gt; 0, INDEX(Turnover_Bands_Min, E13), 0)</f>
        <v>0</v>
      </c>
      <c r="K13" s="21" cm="1">
        <f t="array" ref="K13">IF(F13 &gt; 0, INDEX(Turnover_Bands_Min, F13), 0)</f>
        <v>1000000</v>
      </c>
      <c r="L13" s="30">
        <f t="shared" si="5"/>
        <v>0</v>
      </c>
      <c r="M13" s="30">
        <f t="shared" si="6"/>
        <v>175000</v>
      </c>
      <c r="N13" s="31">
        <f t="shared" si="3"/>
        <v>0</v>
      </c>
      <c r="O13" s="31">
        <f t="shared" si="4"/>
        <v>64.83</v>
      </c>
      <c r="P13" s="31">
        <f t="shared" si="7"/>
        <v>0</v>
      </c>
      <c r="Q13" s="31">
        <f t="shared" si="8"/>
        <v>11.35</v>
      </c>
    </row>
    <row r="14" spans="1:19" x14ac:dyDescent="0.3">
      <c r="A14" s="32">
        <v>13</v>
      </c>
      <c r="B14" s="33">
        <v>60</v>
      </c>
      <c r="C14" s="34">
        <v>1275000</v>
      </c>
      <c r="D14" s="34">
        <v>1275000</v>
      </c>
      <c r="E14" s="28" cm="1">
        <f t="array" ref="E14">IF(C14 &gt; 0, _xlfn.IFS(C14&lt;=1000000,1,C14&lt;=5000000,2,C14&lt;=25000000,3,C14&lt;=100000000,4,C14&lt;=500000000,5,C14&lt;=2000000000,6,C14&gt;2000000000,7), 0)</f>
        <v>2</v>
      </c>
      <c r="F14" s="28" cm="1">
        <f t="array" ref="F14">IF(D14 &gt; 0, _xlfn.IFS(D14&lt;=1000000,1,D14&lt;=5000000,2,D14&lt;=25000000,3,D14&lt;=100000000,4,D14&lt;=500000000,5,D14&lt;=2000000000,6,D14&gt;2000000000,7), 0)</f>
        <v>2</v>
      </c>
      <c r="G14" s="29">
        <f t="shared" si="0"/>
        <v>2137</v>
      </c>
      <c r="H14" s="22">
        <f t="shared" si="1"/>
        <v>660.56</v>
      </c>
      <c r="I14" s="22">
        <f t="shared" si="2"/>
        <v>198.52</v>
      </c>
      <c r="J14" s="21" cm="1">
        <f t="array" ref="J14">IF(E14 &gt; 0, INDEX(Turnover_Bands_Min, E14), 0)</f>
        <v>1000000</v>
      </c>
      <c r="K14" s="21" cm="1">
        <f t="array" ref="K14">IF(F14 &gt; 0, INDEX(Turnover_Bands_Min, F14), 0)</f>
        <v>1000000</v>
      </c>
      <c r="L14" s="30">
        <f t="shared" si="5"/>
        <v>275000</v>
      </c>
      <c r="M14" s="30">
        <f t="shared" si="6"/>
        <v>275000</v>
      </c>
      <c r="N14" s="31">
        <f t="shared" si="3"/>
        <v>216.07</v>
      </c>
      <c r="O14" s="31">
        <f t="shared" si="4"/>
        <v>64.83</v>
      </c>
      <c r="P14" s="31">
        <f t="shared" si="7"/>
        <v>59.419999999999995</v>
      </c>
      <c r="Q14" s="31">
        <f t="shared" si="8"/>
        <v>17.830000000000002</v>
      </c>
    </row>
    <row r="15" spans="1:19" x14ac:dyDescent="0.3">
      <c r="A15" s="32">
        <v>14</v>
      </c>
      <c r="B15" s="33">
        <v>65</v>
      </c>
      <c r="C15" s="34">
        <v>1375000</v>
      </c>
      <c r="D15" s="34"/>
      <c r="E15" s="28" cm="1">
        <f t="array" ref="E15">IF(C15 &gt; 0, _xlfn.IFS(C15&lt;=1000000,1,C15&lt;=5000000,2,C15&lt;=25000000,3,C15&lt;=100000000,4,C15&lt;=500000000,5,C15&lt;=2000000000,6,C15&gt;2000000000,7), 0)</f>
        <v>2</v>
      </c>
      <c r="F15" s="28" cm="1">
        <f t="array" ref="F15">IF(D15 &gt; 0, _xlfn.IFS(D15&lt;=1000000,1,D15&lt;=5000000,2,D15&lt;=25000000,3,D15&lt;=100000000,4,D15&lt;=500000000,5,D15&lt;=2000000000,6,D15&gt;2000000000,7), 0)</f>
        <v>0</v>
      </c>
      <c r="G15" s="29">
        <f t="shared" si="0"/>
        <v>2042</v>
      </c>
      <c r="H15" s="22">
        <f t="shared" si="1"/>
        <v>660.56</v>
      </c>
      <c r="I15" s="22">
        <f t="shared" si="2"/>
        <v>0</v>
      </c>
      <c r="J15" s="21" cm="1">
        <f t="array" ref="J15">IF(E15 &gt; 0, INDEX(Turnover_Bands_Min, E15), 0)</f>
        <v>1000000</v>
      </c>
      <c r="K15" s="21" cm="1">
        <f t="array" ref="K15">IF(F15 &gt; 0, INDEX(Turnover_Bands_Min, F15), 0)</f>
        <v>0</v>
      </c>
      <c r="L15" s="30">
        <f t="shared" si="5"/>
        <v>375000</v>
      </c>
      <c r="M15" s="30">
        <f t="shared" si="6"/>
        <v>0</v>
      </c>
      <c r="N15" s="31">
        <f t="shared" si="3"/>
        <v>216.07</v>
      </c>
      <c r="O15" s="31">
        <f t="shared" si="4"/>
        <v>0</v>
      </c>
      <c r="P15" s="31">
        <f t="shared" si="7"/>
        <v>81.03</v>
      </c>
      <c r="Q15" s="31">
        <f t="shared" si="8"/>
        <v>0</v>
      </c>
    </row>
    <row r="16" spans="1:19" x14ac:dyDescent="0.3">
      <c r="A16" s="32">
        <v>15</v>
      </c>
      <c r="B16" s="33">
        <v>70</v>
      </c>
      <c r="C16" s="34"/>
      <c r="D16" s="34">
        <v>1475000</v>
      </c>
      <c r="E16" s="28" cm="1">
        <f t="array" ref="E16">IF(C16 &gt; 0, _xlfn.IFS(C16&lt;=1000000,1,C16&lt;=5000000,2,C16&lt;=25000000,3,C16&lt;=100000000,4,C16&lt;=500000000,5,C16&lt;=2000000000,6,C16&gt;2000000000,7), 0)</f>
        <v>0</v>
      </c>
      <c r="F16" s="28" cm="1">
        <f t="array" ref="F16">IF(D16 &gt; 0, _xlfn.IFS(D16&lt;=1000000,1,D16&lt;=5000000,2,D16&lt;=25000000,3,D16&lt;=100000000,4,D16&lt;=500000000,5,D16&lt;=2000000000,6,D16&gt;2000000000,7), 0)</f>
        <v>2</v>
      </c>
      <c r="G16" s="29">
        <f t="shared" si="0"/>
        <v>1630</v>
      </c>
      <c r="H16" s="22">
        <f t="shared" si="1"/>
        <v>0</v>
      </c>
      <c r="I16" s="22">
        <f t="shared" si="2"/>
        <v>198.52</v>
      </c>
      <c r="J16" s="21" cm="1">
        <f t="array" ref="J16">IF(E16 &gt; 0, INDEX(Turnover_Bands_Min, E16), 0)</f>
        <v>0</v>
      </c>
      <c r="K16" s="21" cm="1">
        <f t="array" ref="K16">IF(F16 &gt; 0, INDEX(Turnover_Bands_Min, F16), 0)</f>
        <v>1000000</v>
      </c>
      <c r="L16" s="30">
        <f t="shared" si="5"/>
        <v>0</v>
      </c>
      <c r="M16" s="30">
        <f t="shared" si="6"/>
        <v>475000</v>
      </c>
      <c r="N16" s="31">
        <f t="shared" si="3"/>
        <v>0</v>
      </c>
      <c r="O16" s="31">
        <f t="shared" si="4"/>
        <v>64.83</v>
      </c>
      <c r="P16" s="31">
        <f t="shared" si="7"/>
        <v>0</v>
      </c>
      <c r="Q16" s="31">
        <f t="shared" si="8"/>
        <v>30.8</v>
      </c>
    </row>
    <row r="17" spans="1:17" x14ac:dyDescent="0.3">
      <c r="A17" s="32">
        <v>16</v>
      </c>
      <c r="B17" s="33">
        <v>75</v>
      </c>
      <c r="C17" s="34">
        <v>1575000</v>
      </c>
      <c r="D17" s="34">
        <v>1575000</v>
      </c>
      <c r="E17" s="28" cm="1">
        <f t="array" ref="E17">IF(C17 &gt; 0, _xlfn.IFS(C17&lt;=1000000,1,C17&lt;=5000000,2,C17&lt;=25000000,3,C17&lt;=100000000,4,C17&lt;=500000000,5,C17&lt;=2000000000,6,C17&gt;2000000000,7), 0)</f>
        <v>2</v>
      </c>
      <c r="F17" s="28" cm="1">
        <f t="array" ref="F17">IF(D17 &gt; 0, _xlfn.IFS(D17&lt;=1000000,1,D17&lt;=5000000,2,D17&lt;=25000000,3,D17&lt;=100000000,4,D17&lt;=500000000,5,D17&lt;=2000000000,6,D17&gt;2000000000,7), 0)</f>
        <v>2</v>
      </c>
      <c r="G17" s="29">
        <f t="shared" si="0"/>
        <v>2521</v>
      </c>
      <c r="H17" s="22">
        <f t="shared" si="1"/>
        <v>660.56</v>
      </c>
      <c r="I17" s="22">
        <f t="shared" si="2"/>
        <v>198.52</v>
      </c>
      <c r="J17" s="21" cm="1">
        <f t="array" ref="J17">IF(E17 &gt; 0, INDEX(Turnover_Bands_Min, E17), 0)</f>
        <v>1000000</v>
      </c>
      <c r="K17" s="21" cm="1">
        <f t="array" ref="K17">IF(F17 &gt; 0, INDEX(Turnover_Bands_Min, F17), 0)</f>
        <v>1000000</v>
      </c>
      <c r="L17" s="30">
        <f t="shared" si="5"/>
        <v>575000</v>
      </c>
      <c r="M17" s="30">
        <f t="shared" si="6"/>
        <v>575000</v>
      </c>
      <c r="N17" s="31">
        <f t="shared" si="3"/>
        <v>216.07</v>
      </c>
      <c r="O17" s="31">
        <f t="shared" si="4"/>
        <v>64.83</v>
      </c>
      <c r="P17" s="31">
        <f t="shared" si="7"/>
        <v>124.25</v>
      </c>
      <c r="Q17" s="31">
        <f t="shared" si="8"/>
        <v>37.28</v>
      </c>
    </row>
    <row r="18" spans="1:17" x14ac:dyDescent="0.3">
      <c r="A18" s="32">
        <v>17</v>
      </c>
      <c r="B18" s="33">
        <v>80</v>
      </c>
      <c r="C18" s="34">
        <v>1675000</v>
      </c>
      <c r="D18" s="34"/>
      <c r="E18" s="28" cm="1">
        <f t="array" ref="E18">IF(C18 &gt; 0, _xlfn.IFS(C18&lt;=1000000,1,C18&lt;=5000000,2,C18&lt;=25000000,3,C18&lt;=100000000,4,C18&lt;=500000000,5,C18&lt;=2000000000,6,C18&gt;2000000000,7), 0)</f>
        <v>2</v>
      </c>
      <c r="F18" s="28" cm="1">
        <f t="array" ref="F18">IF(D18 &gt; 0, _xlfn.IFS(D18&lt;=1000000,1,D18&lt;=5000000,2,D18&lt;=25000000,3,D18&lt;=100000000,4,D18&lt;=500000000,5,D18&lt;=2000000000,6,D18&gt;2000000000,7), 0)</f>
        <v>0</v>
      </c>
      <c r="G18" s="29">
        <f t="shared" si="0"/>
        <v>2407</v>
      </c>
      <c r="H18" s="22">
        <f t="shared" si="1"/>
        <v>660.56</v>
      </c>
      <c r="I18" s="22">
        <f t="shared" si="2"/>
        <v>0</v>
      </c>
      <c r="J18" s="21" cm="1">
        <f t="array" ref="J18">IF(E18 &gt; 0, INDEX(Turnover_Bands_Min, E18), 0)</f>
        <v>1000000</v>
      </c>
      <c r="K18" s="21" cm="1">
        <f t="array" ref="K18">IF(F18 &gt; 0, INDEX(Turnover_Bands_Min, F18), 0)</f>
        <v>0</v>
      </c>
      <c r="L18" s="30">
        <f t="shared" si="5"/>
        <v>675000</v>
      </c>
      <c r="M18" s="30">
        <f t="shared" si="6"/>
        <v>0</v>
      </c>
      <c r="N18" s="31">
        <f t="shared" si="3"/>
        <v>216.07</v>
      </c>
      <c r="O18" s="31">
        <f t="shared" si="4"/>
        <v>0</v>
      </c>
      <c r="P18" s="31">
        <f t="shared" si="7"/>
        <v>145.85</v>
      </c>
      <c r="Q18" s="31">
        <f t="shared" si="8"/>
        <v>0</v>
      </c>
    </row>
    <row r="19" spans="1:17" x14ac:dyDescent="0.3">
      <c r="A19" s="32">
        <v>18</v>
      </c>
      <c r="B19" s="33">
        <v>85</v>
      </c>
      <c r="C19" s="34"/>
      <c r="D19" s="34">
        <v>1775000</v>
      </c>
      <c r="E19" s="28" cm="1">
        <f t="array" ref="E19">IF(C19 &gt; 0, _xlfn.IFS(C19&lt;=1000000,1,C19&lt;=5000000,2,C19&lt;=25000000,3,C19&lt;=100000000,4,C19&lt;=500000000,5,C19&lt;=2000000000,6,C19&gt;2000000000,7), 0)</f>
        <v>0</v>
      </c>
      <c r="F19" s="28" cm="1">
        <f t="array" ref="F19">IF(D19 &gt; 0, _xlfn.IFS(D19&lt;=1000000,1,D19&lt;=5000000,2,D19&lt;=25000000,3,D19&lt;=100000000,4,D19&lt;=500000000,5,D19&lt;=2000000000,6,D19&gt;2000000000,7), 0)</f>
        <v>2</v>
      </c>
      <c r="G19" s="29">
        <f t="shared" si="0"/>
        <v>1949</v>
      </c>
      <c r="H19" s="22">
        <f t="shared" si="1"/>
        <v>0</v>
      </c>
      <c r="I19" s="22">
        <f t="shared" si="2"/>
        <v>198.52</v>
      </c>
      <c r="J19" s="21" cm="1">
        <f t="array" ref="J19">IF(E19 &gt; 0, INDEX(Turnover_Bands_Min, E19), 0)</f>
        <v>0</v>
      </c>
      <c r="K19" s="21" cm="1">
        <f t="array" ref="K19">IF(F19 &gt; 0, INDEX(Turnover_Bands_Min, F19), 0)</f>
        <v>1000000</v>
      </c>
      <c r="L19" s="30">
        <f t="shared" si="5"/>
        <v>0</v>
      </c>
      <c r="M19" s="30">
        <f t="shared" si="6"/>
        <v>775000</v>
      </c>
      <c r="N19" s="31">
        <f t="shared" si="3"/>
        <v>0</v>
      </c>
      <c r="O19" s="31">
        <f t="shared" si="4"/>
        <v>64.83</v>
      </c>
      <c r="P19" s="31">
        <f t="shared" si="7"/>
        <v>0</v>
      </c>
      <c r="Q19" s="31">
        <f t="shared" si="8"/>
        <v>50.25</v>
      </c>
    </row>
    <row r="20" spans="1:17" x14ac:dyDescent="0.3">
      <c r="A20" s="32">
        <v>19</v>
      </c>
      <c r="B20" s="33">
        <v>90</v>
      </c>
      <c r="C20" s="34">
        <v>1875000</v>
      </c>
      <c r="D20" s="34">
        <v>1875000</v>
      </c>
      <c r="E20" s="28" cm="1">
        <f t="array" ref="E20">IF(C20 &gt; 0, _xlfn.IFS(C20&lt;=1000000,1,C20&lt;=5000000,2,C20&lt;=25000000,3,C20&lt;=100000000,4,C20&lt;=500000000,5,C20&lt;=2000000000,6,C20&gt;2000000000,7), 0)</f>
        <v>2</v>
      </c>
      <c r="F20" s="28" cm="1">
        <f t="array" ref="F20">IF(D20 &gt; 0, _xlfn.IFS(D20&lt;=1000000,1,D20&lt;=5000000,2,D20&lt;=25000000,3,D20&lt;=100000000,4,D20&lt;=500000000,5,D20&lt;=2000000000,6,D20&gt;2000000000,7), 0)</f>
        <v>2</v>
      </c>
      <c r="G20" s="29">
        <f t="shared" si="0"/>
        <v>2905</v>
      </c>
      <c r="H20" s="22">
        <f t="shared" si="1"/>
        <v>660.56</v>
      </c>
      <c r="I20" s="22">
        <f t="shared" si="2"/>
        <v>198.52</v>
      </c>
      <c r="J20" s="21" cm="1">
        <f t="array" ref="J20">IF(E20 &gt; 0, INDEX(Turnover_Bands_Min, E20), 0)</f>
        <v>1000000</v>
      </c>
      <c r="K20" s="21" cm="1">
        <f t="array" ref="K20">IF(F20 &gt; 0, INDEX(Turnover_Bands_Min, F20), 0)</f>
        <v>1000000</v>
      </c>
      <c r="L20" s="30">
        <f t="shared" si="5"/>
        <v>875000</v>
      </c>
      <c r="M20" s="30">
        <f t="shared" si="6"/>
        <v>875000</v>
      </c>
      <c r="N20" s="31">
        <f t="shared" si="3"/>
        <v>216.07</v>
      </c>
      <c r="O20" s="31">
        <f t="shared" si="4"/>
        <v>64.83</v>
      </c>
      <c r="P20" s="31">
        <f t="shared" si="7"/>
        <v>189.07</v>
      </c>
      <c r="Q20" s="31">
        <f t="shared" si="8"/>
        <v>56.73</v>
      </c>
    </row>
    <row r="21" spans="1:17" x14ac:dyDescent="0.3">
      <c r="A21" s="32">
        <v>20</v>
      </c>
      <c r="B21" s="33">
        <v>95</v>
      </c>
      <c r="C21" s="34">
        <v>1975000</v>
      </c>
      <c r="D21" s="34"/>
      <c r="E21" s="28" cm="1">
        <f t="array" ref="E21">IF(C21 &gt; 0, _xlfn.IFS(C21&lt;=1000000,1,C21&lt;=5000000,2,C21&lt;=25000000,3,C21&lt;=100000000,4,C21&lt;=500000000,5,C21&lt;=2000000000,6,C21&gt;2000000000,7), 0)</f>
        <v>2</v>
      </c>
      <c r="F21" s="28" cm="1">
        <f t="array" ref="F21">IF(D21 &gt; 0, _xlfn.IFS(D21&lt;=1000000,1,D21&lt;=5000000,2,D21&lt;=25000000,3,D21&lt;=100000000,4,D21&lt;=500000000,5,D21&lt;=2000000000,6,D21&gt;2000000000,7), 0)</f>
        <v>0</v>
      </c>
      <c r="G21" s="29">
        <f t="shared" si="0"/>
        <v>2772</v>
      </c>
      <c r="H21" s="22">
        <f t="shared" si="1"/>
        <v>660.56</v>
      </c>
      <c r="I21" s="22">
        <f t="shared" si="2"/>
        <v>0</v>
      </c>
      <c r="J21" s="21" cm="1">
        <f t="array" ref="J21">IF(E21 &gt; 0, INDEX(Turnover_Bands_Min, E21), 0)</f>
        <v>1000000</v>
      </c>
      <c r="K21" s="21" cm="1">
        <f t="array" ref="K21">IF(F21 &gt; 0, INDEX(Turnover_Bands_Min, F21), 0)</f>
        <v>0</v>
      </c>
      <c r="L21" s="30">
        <f t="shared" si="5"/>
        <v>975000</v>
      </c>
      <c r="M21" s="30">
        <f t="shared" si="6"/>
        <v>0</v>
      </c>
      <c r="N21" s="31">
        <f t="shared" si="3"/>
        <v>216.07</v>
      </c>
      <c r="O21" s="31">
        <f t="shared" si="4"/>
        <v>0</v>
      </c>
      <c r="P21" s="31">
        <f t="shared" si="7"/>
        <v>210.67</v>
      </c>
      <c r="Q21" s="31">
        <f t="shared" si="8"/>
        <v>0</v>
      </c>
    </row>
    <row r="22" spans="1:17" x14ac:dyDescent="0.3">
      <c r="A22" s="32">
        <v>21</v>
      </c>
      <c r="B22" s="33">
        <v>100</v>
      </c>
      <c r="C22" s="34"/>
      <c r="D22" s="34">
        <v>2075000</v>
      </c>
      <c r="E22" s="28" cm="1">
        <f t="array" ref="E22">IF(C22 &gt; 0, _xlfn.IFS(C22&lt;=1000000,1,C22&lt;=5000000,2,C22&lt;=25000000,3,C22&lt;=100000000,4,C22&lt;=500000000,5,C22&lt;=2000000000,6,C22&gt;2000000000,7), 0)</f>
        <v>0</v>
      </c>
      <c r="F22" s="28" cm="1">
        <f t="array" ref="F22">IF(D22 &gt; 0, _xlfn.IFS(D22&lt;=1000000,1,D22&lt;=5000000,2,D22&lt;=25000000,3,D22&lt;=100000000,4,D22&lt;=500000000,5,D22&lt;=2000000000,6,D22&gt;2000000000,7), 0)</f>
        <v>2</v>
      </c>
      <c r="G22" s="29">
        <f t="shared" si="0"/>
        <v>2269</v>
      </c>
      <c r="H22" s="22">
        <f t="shared" si="1"/>
        <v>0</v>
      </c>
      <c r="I22" s="22">
        <f t="shared" si="2"/>
        <v>198.52</v>
      </c>
      <c r="J22" s="21" cm="1">
        <f t="array" ref="J22">IF(E22 &gt; 0, INDEX(Turnover_Bands_Min, E22), 0)</f>
        <v>0</v>
      </c>
      <c r="K22" s="21" cm="1">
        <f t="array" ref="K22">IF(F22 &gt; 0, INDEX(Turnover_Bands_Min, F22), 0)</f>
        <v>1000000</v>
      </c>
      <c r="L22" s="30">
        <f t="shared" si="5"/>
        <v>0</v>
      </c>
      <c r="M22" s="30">
        <f t="shared" si="6"/>
        <v>1075000</v>
      </c>
      <c r="N22" s="31">
        <f t="shared" si="3"/>
        <v>0</v>
      </c>
      <c r="O22" s="31">
        <f t="shared" si="4"/>
        <v>64.83</v>
      </c>
      <c r="P22" s="31">
        <f t="shared" si="7"/>
        <v>0</v>
      </c>
      <c r="Q22" s="31">
        <f t="shared" si="8"/>
        <v>69.7</v>
      </c>
    </row>
    <row r="23" spans="1:17" x14ac:dyDescent="0.3">
      <c r="A23" s="32">
        <v>22</v>
      </c>
      <c r="B23" s="33">
        <v>105</v>
      </c>
      <c r="C23" s="34">
        <v>2175000</v>
      </c>
      <c r="D23" s="34">
        <v>2175000</v>
      </c>
      <c r="E23" s="28" cm="1">
        <f t="array" ref="E23">IF(C23 &gt; 0, _xlfn.IFS(C23&lt;=1000000,1,C23&lt;=5000000,2,C23&lt;=25000000,3,C23&lt;=100000000,4,C23&lt;=500000000,5,C23&lt;=2000000000,6,C23&gt;2000000000,7), 0)</f>
        <v>2</v>
      </c>
      <c r="F23" s="28" cm="1">
        <f t="array" ref="F23">IF(D23 &gt; 0, _xlfn.IFS(D23&lt;=1000000,1,D23&lt;=5000000,2,D23&lt;=25000000,3,D23&lt;=100000000,4,D23&lt;=500000000,5,D23&lt;=2000000000,6,D23&gt;2000000000,7), 0)</f>
        <v>2</v>
      </c>
      <c r="G23" s="29">
        <f t="shared" si="0"/>
        <v>3290</v>
      </c>
      <c r="H23" s="22">
        <f t="shared" si="1"/>
        <v>660.56</v>
      </c>
      <c r="I23" s="22">
        <f t="shared" si="2"/>
        <v>198.52</v>
      </c>
      <c r="J23" s="21" cm="1">
        <f t="array" ref="J23">IF(E23 &gt; 0, INDEX(Turnover_Bands_Min, E23), 0)</f>
        <v>1000000</v>
      </c>
      <c r="K23" s="21" cm="1">
        <f t="array" ref="K23">IF(F23 &gt; 0, INDEX(Turnover_Bands_Min, F23), 0)</f>
        <v>1000000</v>
      </c>
      <c r="L23" s="30">
        <f t="shared" si="5"/>
        <v>1175000</v>
      </c>
      <c r="M23" s="30">
        <f t="shared" si="6"/>
        <v>1175000</v>
      </c>
      <c r="N23" s="31">
        <f t="shared" si="3"/>
        <v>216.07</v>
      </c>
      <c r="O23" s="31">
        <f t="shared" si="4"/>
        <v>64.83</v>
      </c>
      <c r="P23" s="31">
        <f t="shared" si="7"/>
        <v>253.89</v>
      </c>
      <c r="Q23" s="31">
        <f t="shared" si="8"/>
        <v>76.180000000000007</v>
      </c>
    </row>
    <row r="24" spans="1:17" x14ac:dyDescent="0.3">
      <c r="A24" s="32">
        <v>23</v>
      </c>
      <c r="B24" s="33">
        <v>110</v>
      </c>
      <c r="C24" s="34">
        <v>2275000</v>
      </c>
      <c r="D24" s="34"/>
      <c r="E24" s="28" cm="1">
        <f t="array" ref="E24">IF(C24 &gt; 0, _xlfn.IFS(C24&lt;=1000000,1,C24&lt;=5000000,2,C24&lt;=25000000,3,C24&lt;=100000000,4,C24&lt;=500000000,5,C24&lt;=2000000000,6,C24&gt;2000000000,7), 0)</f>
        <v>2</v>
      </c>
      <c r="F24" s="28" cm="1">
        <f t="array" ref="F24">IF(D24 &gt; 0, _xlfn.IFS(D24&lt;=1000000,1,D24&lt;=5000000,2,D24&lt;=25000000,3,D24&lt;=100000000,4,D24&lt;=500000000,5,D24&lt;=2000000000,6,D24&gt;2000000000,7), 0)</f>
        <v>0</v>
      </c>
      <c r="G24" s="29">
        <f t="shared" si="0"/>
        <v>3137</v>
      </c>
      <c r="H24" s="22">
        <f t="shared" si="1"/>
        <v>660.56</v>
      </c>
      <c r="I24" s="22">
        <f t="shared" si="2"/>
        <v>0</v>
      </c>
      <c r="J24" s="21" cm="1">
        <f t="array" ref="J24">IF(E24 &gt; 0, INDEX(Turnover_Bands_Min, E24), 0)</f>
        <v>1000000</v>
      </c>
      <c r="K24" s="21" cm="1">
        <f t="array" ref="K24">IF(F24 &gt; 0, INDEX(Turnover_Bands_Min, F24), 0)</f>
        <v>0</v>
      </c>
      <c r="L24" s="30">
        <f t="shared" si="5"/>
        <v>1275000</v>
      </c>
      <c r="M24" s="30">
        <f t="shared" si="6"/>
        <v>0</v>
      </c>
      <c r="N24" s="31">
        <f t="shared" si="3"/>
        <v>216.07</v>
      </c>
      <c r="O24" s="31">
        <f t="shared" si="4"/>
        <v>0</v>
      </c>
      <c r="P24" s="31">
        <f t="shared" si="7"/>
        <v>275.49</v>
      </c>
      <c r="Q24" s="31">
        <f t="shared" si="8"/>
        <v>0</v>
      </c>
    </row>
    <row r="25" spans="1:17" x14ac:dyDescent="0.3">
      <c r="A25" s="32">
        <v>24</v>
      </c>
      <c r="B25" s="33">
        <v>115</v>
      </c>
      <c r="C25" s="34"/>
      <c r="D25" s="34">
        <v>2375000</v>
      </c>
      <c r="E25" s="28" cm="1">
        <f t="array" ref="E25">IF(C25 &gt; 0, _xlfn.IFS(C25&lt;=1000000,1,C25&lt;=5000000,2,C25&lt;=25000000,3,C25&lt;=100000000,4,C25&lt;=500000000,5,C25&lt;=2000000000,6,C25&gt;2000000000,7), 0)</f>
        <v>0</v>
      </c>
      <c r="F25" s="28" cm="1">
        <f t="array" ref="F25">IF(D25 &gt; 0, _xlfn.IFS(D25&lt;=1000000,1,D25&lt;=5000000,2,D25&lt;=25000000,3,D25&lt;=100000000,4,D25&lt;=500000000,5,D25&lt;=2000000000,6,D25&gt;2000000000,7), 0)</f>
        <v>2</v>
      </c>
      <c r="G25" s="29">
        <f t="shared" si="0"/>
        <v>2588</v>
      </c>
      <c r="H25" s="22">
        <f t="shared" si="1"/>
        <v>0</v>
      </c>
      <c r="I25" s="22">
        <f t="shared" si="2"/>
        <v>198.52</v>
      </c>
      <c r="J25" s="21" cm="1">
        <f t="array" ref="J25">IF(E25 &gt; 0, INDEX(Turnover_Bands_Min, E25), 0)</f>
        <v>0</v>
      </c>
      <c r="K25" s="21" cm="1">
        <f t="array" ref="K25">IF(F25 &gt; 0, INDEX(Turnover_Bands_Min, F25), 0)</f>
        <v>1000000</v>
      </c>
      <c r="L25" s="30">
        <f t="shared" si="5"/>
        <v>0</v>
      </c>
      <c r="M25" s="30">
        <f t="shared" si="6"/>
        <v>1375000</v>
      </c>
      <c r="N25" s="31">
        <f t="shared" si="3"/>
        <v>0</v>
      </c>
      <c r="O25" s="31">
        <f t="shared" si="4"/>
        <v>64.83</v>
      </c>
      <c r="P25" s="31">
        <f t="shared" si="7"/>
        <v>0</v>
      </c>
      <c r="Q25" s="31">
        <f t="shared" si="8"/>
        <v>89.15</v>
      </c>
    </row>
    <row r="26" spans="1:17" x14ac:dyDescent="0.3">
      <c r="A26" s="32">
        <v>25</v>
      </c>
      <c r="B26" s="33">
        <v>120</v>
      </c>
      <c r="C26" s="34">
        <v>2475000</v>
      </c>
      <c r="D26" s="34">
        <v>2475000</v>
      </c>
      <c r="E26" s="28" cm="1">
        <f t="array" ref="E26">IF(C26 &gt; 0, _xlfn.IFS(C26&lt;=1000000,1,C26&lt;=5000000,2,C26&lt;=25000000,3,C26&lt;=100000000,4,C26&lt;=500000000,5,C26&lt;=2000000000,6,C26&gt;2000000000,7), 0)</f>
        <v>2</v>
      </c>
      <c r="F26" s="28" cm="1">
        <f t="array" ref="F26">IF(D26 &gt; 0, _xlfn.IFS(D26&lt;=1000000,1,D26&lt;=5000000,2,D26&lt;=25000000,3,D26&lt;=100000000,4,D26&lt;=500000000,5,D26&lt;=2000000000,6,D26&gt;2000000000,7), 0)</f>
        <v>2</v>
      </c>
      <c r="G26" s="29">
        <f t="shared" si="0"/>
        <v>3674</v>
      </c>
      <c r="H26" s="22">
        <f t="shared" si="1"/>
        <v>660.56</v>
      </c>
      <c r="I26" s="22">
        <f t="shared" si="2"/>
        <v>198.52</v>
      </c>
      <c r="J26" s="21" cm="1">
        <f t="array" ref="J26">IF(E26 &gt; 0, INDEX(Turnover_Bands_Min, E26), 0)</f>
        <v>1000000</v>
      </c>
      <c r="K26" s="21" cm="1">
        <f t="array" ref="K26">IF(F26 &gt; 0, INDEX(Turnover_Bands_Min, F26), 0)</f>
        <v>1000000</v>
      </c>
      <c r="L26" s="30">
        <f t="shared" si="5"/>
        <v>1475000</v>
      </c>
      <c r="M26" s="30">
        <f t="shared" si="6"/>
        <v>1475000</v>
      </c>
      <c r="N26" s="31">
        <f t="shared" si="3"/>
        <v>216.07</v>
      </c>
      <c r="O26" s="31">
        <f t="shared" si="4"/>
        <v>64.83</v>
      </c>
      <c r="P26" s="31">
        <f t="shared" si="7"/>
        <v>318.70999999999998</v>
      </c>
      <c r="Q26" s="31">
        <f t="shared" si="8"/>
        <v>95.63000000000001</v>
      </c>
    </row>
    <row r="27" spans="1:17" x14ac:dyDescent="0.3">
      <c r="A27" s="32">
        <v>26</v>
      </c>
      <c r="B27" s="33">
        <v>125</v>
      </c>
      <c r="C27" s="34">
        <v>2575000</v>
      </c>
      <c r="D27" s="34"/>
      <c r="E27" s="28" cm="1">
        <f t="array" ref="E27">IF(C27 &gt; 0, _xlfn.IFS(C27&lt;=1000000,1,C27&lt;=5000000,2,C27&lt;=25000000,3,C27&lt;=100000000,4,C27&lt;=500000000,5,C27&lt;=2000000000,6,C27&gt;2000000000,7), 0)</f>
        <v>2</v>
      </c>
      <c r="F27" s="28" cm="1">
        <f t="array" ref="F27">IF(D27 &gt; 0, _xlfn.IFS(D27&lt;=1000000,1,D27&lt;=5000000,2,D27&lt;=25000000,3,D27&lt;=100000000,4,D27&lt;=500000000,5,D27&lt;=2000000000,6,D27&gt;2000000000,7), 0)</f>
        <v>0</v>
      </c>
      <c r="G27" s="29">
        <f t="shared" si="0"/>
        <v>3501</v>
      </c>
      <c r="H27" s="22">
        <f t="shared" si="1"/>
        <v>660.56</v>
      </c>
      <c r="I27" s="22">
        <f t="shared" si="2"/>
        <v>0</v>
      </c>
      <c r="J27" s="21" cm="1">
        <f t="array" ref="J27">IF(E27 &gt; 0, INDEX(Turnover_Bands_Min, E27), 0)</f>
        <v>1000000</v>
      </c>
      <c r="K27" s="21" cm="1">
        <f t="array" ref="K27">IF(F27 &gt; 0, INDEX(Turnover_Bands_Min, F27), 0)</f>
        <v>0</v>
      </c>
      <c r="L27" s="30">
        <f t="shared" si="5"/>
        <v>1575000</v>
      </c>
      <c r="M27" s="30">
        <f t="shared" si="6"/>
        <v>0</v>
      </c>
      <c r="N27" s="31">
        <f t="shared" si="3"/>
        <v>216.07</v>
      </c>
      <c r="O27" s="31">
        <f t="shared" si="4"/>
        <v>0</v>
      </c>
      <c r="P27" s="31">
        <f t="shared" si="7"/>
        <v>340.32</v>
      </c>
      <c r="Q27" s="31">
        <f t="shared" si="8"/>
        <v>0</v>
      </c>
    </row>
    <row r="28" spans="1:17" x14ac:dyDescent="0.3">
      <c r="A28" s="32">
        <v>27</v>
      </c>
      <c r="B28" s="33">
        <v>130</v>
      </c>
      <c r="C28" s="34"/>
      <c r="D28" s="34">
        <v>2675000</v>
      </c>
      <c r="E28" s="28" cm="1">
        <f t="array" ref="E28">IF(C28 &gt; 0, _xlfn.IFS(C28&lt;=1000000,1,C28&lt;=5000000,2,C28&lt;=25000000,3,C28&lt;=100000000,4,C28&lt;=500000000,5,C28&lt;=2000000000,6,C28&gt;2000000000,7), 0)</f>
        <v>0</v>
      </c>
      <c r="F28" s="28" cm="1">
        <f t="array" ref="F28">IF(D28 &gt; 0, _xlfn.IFS(D28&lt;=1000000,1,D28&lt;=5000000,2,D28&lt;=25000000,3,D28&lt;=100000000,4,D28&lt;=500000000,5,D28&lt;=2000000000,6,D28&gt;2000000000,7), 0)</f>
        <v>2</v>
      </c>
      <c r="G28" s="29">
        <f t="shared" si="0"/>
        <v>2908</v>
      </c>
      <c r="H28" s="22">
        <f t="shared" si="1"/>
        <v>0</v>
      </c>
      <c r="I28" s="22">
        <f t="shared" si="2"/>
        <v>198.52</v>
      </c>
      <c r="J28" s="21" cm="1">
        <f t="array" ref="J28">IF(E28 &gt; 0, INDEX(Turnover_Bands_Min, E28), 0)</f>
        <v>0</v>
      </c>
      <c r="K28" s="21" cm="1">
        <f t="array" ref="K28">IF(F28 &gt; 0, INDEX(Turnover_Bands_Min, F28), 0)</f>
        <v>1000000</v>
      </c>
      <c r="L28" s="30">
        <f t="shared" si="5"/>
        <v>0</v>
      </c>
      <c r="M28" s="30">
        <f t="shared" si="6"/>
        <v>1675000</v>
      </c>
      <c r="N28" s="31">
        <f t="shared" si="3"/>
        <v>0</v>
      </c>
      <c r="O28" s="31">
        <f t="shared" si="4"/>
        <v>64.83</v>
      </c>
      <c r="P28" s="31">
        <f t="shared" si="7"/>
        <v>0</v>
      </c>
      <c r="Q28" s="31">
        <f t="shared" si="8"/>
        <v>108.60000000000001</v>
      </c>
    </row>
    <row r="29" spans="1:17" x14ac:dyDescent="0.3">
      <c r="A29" s="32">
        <v>28</v>
      </c>
      <c r="B29" s="33">
        <v>135</v>
      </c>
      <c r="C29" s="34">
        <v>2775000</v>
      </c>
      <c r="D29" s="34">
        <v>2775000</v>
      </c>
      <c r="E29" s="28" cm="1">
        <f t="array" ref="E29">IF(C29 &gt; 0, _xlfn.IFS(C29&lt;=1000000,1,C29&lt;=5000000,2,C29&lt;=25000000,3,C29&lt;=100000000,4,C29&lt;=500000000,5,C29&lt;=2000000000,6,C29&gt;2000000000,7), 0)</f>
        <v>2</v>
      </c>
      <c r="F29" s="28" cm="1">
        <f t="array" ref="F29">IF(D29 &gt; 0, _xlfn.IFS(D29&lt;=1000000,1,D29&lt;=5000000,2,D29&lt;=25000000,3,D29&lt;=100000000,4,D29&lt;=500000000,5,D29&lt;=2000000000,6,D29&gt;2000000000,7), 0)</f>
        <v>2</v>
      </c>
      <c r="G29" s="29">
        <f t="shared" si="0"/>
        <v>4058</v>
      </c>
      <c r="H29" s="22">
        <f t="shared" si="1"/>
        <v>660.56</v>
      </c>
      <c r="I29" s="22">
        <f t="shared" si="2"/>
        <v>198.52</v>
      </c>
      <c r="J29" s="21" cm="1">
        <f t="array" ref="J29">IF(E29 &gt; 0, INDEX(Turnover_Bands_Min, E29), 0)</f>
        <v>1000000</v>
      </c>
      <c r="K29" s="21" cm="1">
        <f t="array" ref="K29">IF(F29 &gt; 0, INDEX(Turnover_Bands_Min, F29), 0)</f>
        <v>1000000</v>
      </c>
      <c r="L29" s="30">
        <f t="shared" si="5"/>
        <v>1775000</v>
      </c>
      <c r="M29" s="30">
        <f t="shared" si="6"/>
        <v>1775000</v>
      </c>
      <c r="N29" s="31">
        <f t="shared" si="3"/>
        <v>216.07</v>
      </c>
      <c r="O29" s="31">
        <f t="shared" si="4"/>
        <v>64.83</v>
      </c>
      <c r="P29" s="31">
        <f t="shared" si="7"/>
        <v>383.53</v>
      </c>
      <c r="Q29" s="31">
        <f t="shared" si="8"/>
        <v>115.08</v>
      </c>
    </row>
    <row r="30" spans="1:17" x14ac:dyDescent="0.3">
      <c r="A30" s="32">
        <v>29</v>
      </c>
      <c r="B30" s="33">
        <v>140</v>
      </c>
      <c r="C30" s="34">
        <v>2875000</v>
      </c>
      <c r="D30" s="34"/>
      <c r="E30" s="28" cm="1">
        <f t="array" ref="E30">IF(C30 &gt; 0, _xlfn.IFS(C30&lt;=1000000,1,C30&lt;=5000000,2,C30&lt;=25000000,3,C30&lt;=100000000,4,C30&lt;=500000000,5,C30&lt;=2000000000,6,C30&gt;2000000000,7), 0)</f>
        <v>2</v>
      </c>
      <c r="F30" s="28" cm="1">
        <f t="array" ref="F30">IF(D30 &gt; 0, _xlfn.IFS(D30&lt;=1000000,1,D30&lt;=5000000,2,D30&lt;=25000000,3,D30&lt;=100000000,4,D30&lt;=500000000,5,D30&lt;=2000000000,6,D30&gt;2000000000,7), 0)</f>
        <v>0</v>
      </c>
      <c r="G30" s="29">
        <f t="shared" si="0"/>
        <v>3866</v>
      </c>
      <c r="H30" s="22">
        <f t="shared" si="1"/>
        <v>660.56</v>
      </c>
      <c r="I30" s="22">
        <f t="shared" si="2"/>
        <v>0</v>
      </c>
      <c r="J30" s="21" cm="1">
        <f t="array" ref="J30">IF(E30 &gt; 0, INDEX(Turnover_Bands_Min, E30), 0)</f>
        <v>1000000</v>
      </c>
      <c r="K30" s="21" cm="1">
        <f t="array" ref="K30">IF(F30 &gt; 0, INDEX(Turnover_Bands_Min, F30), 0)</f>
        <v>0</v>
      </c>
      <c r="L30" s="30">
        <f t="shared" si="5"/>
        <v>1875000</v>
      </c>
      <c r="M30" s="30">
        <f t="shared" si="6"/>
        <v>0</v>
      </c>
      <c r="N30" s="31">
        <f t="shared" si="3"/>
        <v>216.07</v>
      </c>
      <c r="O30" s="31">
        <f t="shared" si="4"/>
        <v>0</v>
      </c>
      <c r="P30" s="31">
        <f t="shared" si="7"/>
        <v>405.14</v>
      </c>
      <c r="Q30" s="31">
        <f t="shared" si="8"/>
        <v>0</v>
      </c>
    </row>
    <row r="31" spans="1:17" x14ac:dyDescent="0.3">
      <c r="A31" s="32">
        <v>30</v>
      </c>
      <c r="B31" s="33">
        <v>145</v>
      </c>
      <c r="C31" s="34"/>
      <c r="D31" s="34">
        <v>2975000</v>
      </c>
      <c r="E31" s="28" cm="1">
        <f t="array" ref="E31">IF(C31 &gt; 0, _xlfn.IFS(C31&lt;=1000000,1,C31&lt;=5000000,2,C31&lt;=25000000,3,C31&lt;=100000000,4,C31&lt;=500000000,5,C31&lt;=2000000000,6,C31&gt;2000000000,7), 0)</f>
        <v>0</v>
      </c>
      <c r="F31" s="28" cm="1">
        <f t="array" ref="F31">IF(D31 &gt; 0, _xlfn.IFS(D31&lt;=1000000,1,D31&lt;=5000000,2,D31&lt;=25000000,3,D31&lt;=100000000,4,D31&lt;=500000000,5,D31&lt;=2000000000,6,D31&gt;2000000000,7), 0)</f>
        <v>2</v>
      </c>
      <c r="G31" s="29">
        <f t="shared" si="0"/>
        <v>3227</v>
      </c>
      <c r="H31" s="22">
        <f t="shared" si="1"/>
        <v>0</v>
      </c>
      <c r="I31" s="22">
        <f t="shared" si="2"/>
        <v>198.52</v>
      </c>
      <c r="J31" s="21" cm="1">
        <f t="array" ref="J31">IF(E31 &gt; 0, INDEX(Turnover_Bands_Min, E31), 0)</f>
        <v>0</v>
      </c>
      <c r="K31" s="21" cm="1">
        <f t="array" ref="K31">IF(F31 &gt; 0, INDEX(Turnover_Bands_Min, F31), 0)</f>
        <v>1000000</v>
      </c>
      <c r="L31" s="30">
        <f t="shared" si="5"/>
        <v>0</v>
      </c>
      <c r="M31" s="30">
        <f t="shared" si="6"/>
        <v>1975000</v>
      </c>
      <c r="N31" s="31">
        <f t="shared" si="3"/>
        <v>0</v>
      </c>
      <c r="O31" s="31">
        <f t="shared" si="4"/>
        <v>64.83</v>
      </c>
      <c r="P31" s="31">
        <f t="shared" si="7"/>
        <v>0</v>
      </c>
      <c r="Q31" s="31">
        <f t="shared" si="8"/>
        <v>128.04</v>
      </c>
    </row>
    <row r="32" spans="1:17" x14ac:dyDescent="0.3">
      <c r="A32" s="32">
        <v>31</v>
      </c>
      <c r="B32" s="33">
        <v>150</v>
      </c>
      <c r="C32" s="34">
        <v>3075000</v>
      </c>
      <c r="D32" s="34">
        <v>3075000</v>
      </c>
      <c r="E32" s="28" cm="1">
        <f t="array" ref="E32">IF(C32 &gt; 0, _xlfn.IFS(C32&lt;=1000000,1,C32&lt;=5000000,2,C32&lt;=25000000,3,C32&lt;=100000000,4,C32&lt;=500000000,5,C32&lt;=2000000000,6,C32&gt;2000000000,7), 0)</f>
        <v>2</v>
      </c>
      <c r="F32" s="28" cm="1">
        <f t="array" ref="F32">IF(D32 &gt; 0, _xlfn.IFS(D32&lt;=1000000,1,D32&lt;=5000000,2,D32&lt;=25000000,3,D32&lt;=100000000,4,D32&lt;=500000000,5,D32&lt;=2000000000,6,D32&gt;2000000000,7), 0)</f>
        <v>2</v>
      </c>
      <c r="G32" s="29">
        <f t="shared" si="0"/>
        <v>4442</v>
      </c>
      <c r="H32" s="22">
        <f t="shared" si="1"/>
        <v>660.56</v>
      </c>
      <c r="I32" s="22">
        <f t="shared" si="2"/>
        <v>198.52</v>
      </c>
      <c r="J32" s="21" cm="1">
        <f t="array" ref="J32">IF(E32 &gt; 0, INDEX(Turnover_Bands_Min, E32), 0)</f>
        <v>1000000</v>
      </c>
      <c r="K32" s="21" cm="1">
        <f t="array" ref="K32">IF(F32 &gt; 0, INDEX(Turnover_Bands_Min, F32), 0)</f>
        <v>1000000</v>
      </c>
      <c r="L32" s="30">
        <f t="shared" si="5"/>
        <v>2075000</v>
      </c>
      <c r="M32" s="30">
        <f t="shared" si="6"/>
        <v>2075000</v>
      </c>
      <c r="N32" s="31">
        <f t="shared" si="3"/>
        <v>216.07</v>
      </c>
      <c r="O32" s="31">
        <f t="shared" si="4"/>
        <v>64.83</v>
      </c>
      <c r="P32" s="31">
        <f t="shared" si="7"/>
        <v>448.34999999999997</v>
      </c>
      <c r="Q32" s="31">
        <f t="shared" si="8"/>
        <v>134.53</v>
      </c>
    </row>
    <row r="33" spans="1:17" x14ac:dyDescent="0.3">
      <c r="A33" s="32">
        <v>32</v>
      </c>
      <c r="B33" s="33">
        <v>155</v>
      </c>
      <c r="C33" s="34">
        <v>3175000</v>
      </c>
      <c r="D33" s="34"/>
      <c r="E33" s="28" cm="1">
        <f t="array" ref="E33">IF(C33 &gt; 0, _xlfn.IFS(C33&lt;=1000000,1,C33&lt;=5000000,2,C33&lt;=25000000,3,C33&lt;=100000000,4,C33&lt;=500000000,5,C33&lt;=2000000000,6,C33&gt;2000000000,7), 0)</f>
        <v>2</v>
      </c>
      <c r="F33" s="28" cm="1">
        <f t="array" ref="F33">IF(D33 &gt; 0, _xlfn.IFS(D33&lt;=1000000,1,D33&lt;=5000000,2,D33&lt;=25000000,3,D33&lt;=100000000,4,D33&lt;=500000000,5,D33&lt;=2000000000,6,D33&gt;2000000000,7), 0)</f>
        <v>0</v>
      </c>
      <c r="G33" s="29">
        <f t="shared" si="0"/>
        <v>4231</v>
      </c>
      <c r="H33" s="22">
        <f t="shared" si="1"/>
        <v>660.56</v>
      </c>
      <c r="I33" s="22">
        <f t="shared" si="2"/>
        <v>0</v>
      </c>
      <c r="J33" s="21" cm="1">
        <f t="array" ref="J33">IF(E33 &gt; 0, INDEX(Turnover_Bands_Min, E33), 0)</f>
        <v>1000000</v>
      </c>
      <c r="K33" s="21" cm="1">
        <f t="array" ref="K33">IF(F33 &gt; 0, INDEX(Turnover_Bands_Min, F33), 0)</f>
        <v>0</v>
      </c>
      <c r="L33" s="30">
        <f t="shared" si="5"/>
        <v>2175000</v>
      </c>
      <c r="M33" s="30">
        <f t="shared" si="6"/>
        <v>0</v>
      </c>
      <c r="N33" s="31">
        <f t="shared" si="3"/>
        <v>216.07</v>
      </c>
      <c r="O33" s="31">
        <f t="shared" si="4"/>
        <v>0</v>
      </c>
      <c r="P33" s="31">
        <f t="shared" si="7"/>
        <v>469.96</v>
      </c>
      <c r="Q33" s="31">
        <f t="shared" si="8"/>
        <v>0</v>
      </c>
    </row>
    <row r="34" spans="1:17" x14ac:dyDescent="0.3">
      <c r="A34" s="32">
        <v>33</v>
      </c>
      <c r="B34" s="33">
        <v>160</v>
      </c>
      <c r="C34" s="34"/>
      <c r="D34" s="34">
        <v>3275000</v>
      </c>
      <c r="E34" s="28" cm="1">
        <f t="array" ref="E34">IF(C34 &gt; 0, _xlfn.IFS(C34&lt;=1000000,1,C34&lt;=5000000,2,C34&lt;=25000000,3,C34&lt;=100000000,4,C34&lt;=500000000,5,C34&lt;=2000000000,6,C34&gt;2000000000,7), 0)</f>
        <v>0</v>
      </c>
      <c r="F34" s="28" cm="1">
        <f t="array" ref="F34">IF(D34 &gt; 0, _xlfn.IFS(D34&lt;=1000000,1,D34&lt;=5000000,2,D34&lt;=25000000,3,D34&lt;=100000000,4,D34&lt;=500000000,5,D34&lt;=2000000000,6,D34&gt;2000000000,7), 0)</f>
        <v>2</v>
      </c>
      <c r="G34" s="29">
        <f t="shared" ref="G34:G51" si="9">ROUNDUP(MAX((H34 + I34 + P34 + Q34), Min_CoC_Fee) + B34 * CoC_Group_Member_Charge,0)</f>
        <v>3547</v>
      </c>
      <c r="H34" s="22">
        <f t="shared" ref="H34:H51" si="10">IF(E34 &gt; 0, VLOOKUP(E34, Base_Costs_Lookup, 2), 0)</f>
        <v>0</v>
      </c>
      <c r="I34" s="22">
        <f t="shared" si="2"/>
        <v>198.52</v>
      </c>
      <c r="J34" s="21" cm="1">
        <f t="array" ref="J34">IF(E34 &gt; 0, INDEX(Turnover_Bands_Min, E34), 0)</f>
        <v>0</v>
      </c>
      <c r="K34" s="21" cm="1">
        <f t="array" ref="K34">IF(F34 &gt; 0, INDEX(Turnover_Bands_Min, F34), 0)</f>
        <v>1000000</v>
      </c>
      <c r="L34" s="30">
        <f t="shared" si="5"/>
        <v>0</v>
      </c>
      <c r="M34" s="30">
        <f t="shared" si="6"/>
        <v>2275000</v>
      </c>
      <c r="N34" s="31">
        <f t="shared" ref="N34:N51" si="11">IF(E34 &gt; 0, VLOOKUP(E34, Variable_Costs_Lookup, 2), 0)</f>
        <v>0</v>
      </c>
      <c r="O34" s="31">
        <f t="shared" ref="O34:O51" si="12">IF(F34 &gt; 0, VLOOKUP(F34, Variable_Costs_Lookup, 3), 0)</f>
        <v>64.83</v>
      </c>
      <c r="P34" s="31">
        <f t="shared" si="7"/>
        <v>0</v>
      </c>
      <c r="Q34" s="31">
        <f t="shared" si="8"/>
        <v>147.48999999999998</v>
      </c>
    </row>
    <row r="35" spans="1:17" x14ac:dyDescent="0.3">
      <c r="A35" s="32">
        <v>34</v>
      </c>
      <c r="B35" s="33">
        <v>165</v>
      </c>
      <c r="C35" s="34">
        <v>3375000</v>
      </c>
      <c r="D35" s="34">
        <v>3375000</v>
      </c>
      <c r="E35" s="28" cm="1">
        <f t="array" ref="E35">IF(C35 &gt; 0, _xlfn.IFS(C35&lt;=1000000,1,C35&lt;=5000000,2,C35&lt;=25000000,3,C35&lt;=100000000,4,C35&lt;=500000000,5,C35&lt;=2000000000,6,C35&gt;2000000000,7), 0)</f>
        <v>2</v>
      </c>
      <c r="F35" s="28" cm="1">
        <f t="array" ref="F35">IF(D35 &gt; 0, _xlfn.IFS(D35&lt;=1000000,1,D35&lt;=5000000,2,D35&lt;=25000000,3,D35&lt;=100000000,4,D35&lt;=500000000,5,D35&lt;=2000000000,6,D35&gt;2000000000,7), 0)</f>
        <v>2</v>
      </c>
      <c r="G35" s="29">
        <f t="shared" si="9"/>
        <v>4827</v>
      </c>
      <c r="H35" s="22">
        <f t="shared" si="10"/>
        <v>660.56</v>
      </c>
      <c r="I35" s="22">
        <f t="shared" si="2"/>
        <v>198.52</v>
      </c>
      <c r="J35" s="21" cm="1">
        <f t="array" ref="J35">IF(E35 &gt; 0, INDEX(Turnover_Bands_Min, E35), 0)</f>
        <v>1000000</v>
      </c>
      <c r="K35" s="21" cm="1">
        <f t="array" ref="K35">IF(F35 &gt; 0, INDEX(Turnover_Bands_Min, F35), 0)</f>
        <v>1000000</v>
      </c>
      <c r="L35" s="30">
        <f t="shared" si="5"/>
        <v>2375000</v>
      </c>
      <c r="M35" s="30">
        <f t="shared" si="6"/>
        <v>2375000</v>
      </c>
      <c r="N35" s="31">
        <f t="shared" si="11"/>
        <v>216.07</v>
      </c>
      <c r="O35" s="31">
        <f t="shared" si="12"/>
        <v>64.83</v>
      </c>
      <c r="P35" s="31">
        <f t="shared" si="7"/>
        <v>513.16999999999996</v>
      </c>
      <c r="Q35" s="31">
        <f t="shared" si="8"/>
        <v>153.97999999999999</v>
      </c>
    </row>
    <row r="36" spans="1:17" x14ac:dyDescent="0.3">
      <c r="A36" s="32">
        <v>35</v>
      </c>
      <c r="B36" s="33">
        <v>170</v>
      </c>
      <c r="C36" s="34">
        <v>3475000</v>
      </c>
      <c r="D36" s="34"/>
      <c r="E36" s="28" cm="1">
        <f t="array" ref="E36">IF(C36 &gt; 0, _xlfn.IFS(C36&lt;=1000000,1,C36&lt;=5000000,2,C36&lt;=25000000,3,C36&lt;=100000000,4,C36&lt;=500000000,5,C36&lt;=2000000000,6,C36&gt;2000000000,7), 0)</f>
        <v>2</v>
      </c>
      <c r="F36" s="28" cm="1">
        <f t="array" ref="F36">IF(D36 &gt; 0, _xlfn.IFS(D36&lt;=1000000,1,D36&lt;=5000000,2,D36&lt;=25000000,3,D36&lt;=100000000,4,D36&lt;=500000000,5,D36&lt;=2000000000,6,D36&gt;2000000000,7), 0)</f>
        <v>0</v>
      </c>
      <c r="G36" s="29">
        <f t="shared" si="9"/>
        <v>4596</v>
      </c>
      <c r="H36" s="22">
        <f t="shared" si="10"/>
        <v>660.56</v>
      </c>
      <c r="I36" s="22">
        <f t="shared" si="2"/>
        <v>0</v>
      </c>
      <c r="J36" s="21" cm="1">
        <f t="array" ref="J36">IF(E36 &gt; 0, INDEX(Turnover_Bands_Min, E36), 0)</f>
        <v>1000000</v>
      </c>
      <c r="K36" s="21" cm="1">
        <f t="array" ref="K36">IF(F36 &gt; 0, INDEX(Turnover_Bands_Min, F36), 0)</f>
        <v>0</v>
      </c>
      <c r="L36" s="30">
        <f t="shared" si="5"/>
        <v>2475000</v>
      </c>
      <c r="M36" s="30">
        <f t="shared" si="6"/>
        <v>0</v>
      </c>
      <c r="N36" s="31">
        <f t="shared" si="11"/>
        <v>216.07</v>
      </c>
      <c r="O36" s="31">
        <f t="shared" si="12"/>
        <v>0</v>
      </c>
      <c r="P36" s="31">
        <f t="shared" si="7"/>
        <v>534.78</v>
      </c>
      <c r="Q36" s="31">
        <f t="shared" si="8"/>
        <v>0</v>
      </c>
    </row>
    <row r="37" spans="1:17" x14ac:dyDescent="0.3">
      <c r="A37" s="32">
        <v>36</v>
      </c>
      <c r="B37" s="33">
        <v>175</v>
      </c>
      <c r="C37" s="34"/>
      <c r="D37" s="34">
        <v>3575000</v>
      </c>
      <c r="E37" s="28" cm="1">
        <f t="array" ref="E37">IF(C37 &gt; 0, _xlfn.IFS(C37&lt;=1000000,1,C37&lt;=5000000,2,C37&lt;=25000000,3,C37&lt;=100000000,4,C37&lt;=500000000,5,C37&lt;=2000000000,6,C37&gt;2000000000,7), 0)</f>
        <v>0</v>
      </c>
      <c r="F37" s="28" cm="1">
        <f t="array" ref="F37">IF(D37 &gt; 0, _xlfn.IFS(D37&lt;=1000000,1,D37&lt;=5000000,2,D37&lt;=25000000,3,D37&lt;=100000000,4,D37&lt;=500000000,5,D37&lt;=2000000000,6,D37&gt;2000000000,7), 0)</f>
        <v>2</v>
      </c>
      <c r="G37" s="29">
        <f t="shared" si="9"/>
        <v>3866</v>
      </c>
      <c r="H37" s="22">
        <f t="shared" si="10"/>
        <v>0</v>
      </c>
      <c r="I37" s="22">
        <f t="shared" si="2"/>
        <v>198.52</v>
      </c>
      <c r="J37" s="21" cm="1">
        <f t="array" ref="J37">IF(E37 &gt; 0, INDEX(Turnover_Bands_Min, E37), 0)</f>
        <v>0</v>
      </c>
      <c r="K37" s="21" cm="1">
        <f t="array" ref="K37">IF(F37 &gt; 0, INDEX(Turnover_Bands_Min, F37), 0)</f>
        <v>1000000</v>
      </c>
      <c r="L37" s="30">
        <f t="shared" si="5"/>
        <v>0</v>
      </c>
      <c r="M37" s="30">
        <f t="shared" si="6"/>
        <v>2575000</v>
      </c>
      <c r="N37" s="31">
        <f t="shared" si="11"/>
        <v>0</v>
      </c>
      <c r="O37" s="31">
        <f t="shared" si="12"/>
        <v>64.83</v>
      </c>
      <c r="P37" s="31">
        <f t="shared" si="7"/>
        <v>0</v>
      </c>
      <c r="Q37" s="31">
        <f t="shared" si="8"/>
        <v>166.94</v>
      </c>
    </row>
    <row r="38" spans="1:17" x14ac:dyDescent="0.3">
      <c r="A38" s="32">
        <v>37</v>
      </c>
      <c r="B38" s="33">
        <v>180</v>
      </c>
      <c r="C38" s="34">
        <v>3675000</v>
      </c>
      <c r="D38" s="34">
        <v>3675000</v>
      </c>
      <c r="E38" s="28" cm="1">
        <f t="array" ref="E38">IF(C38 &gt; 0, _xlfn.IFS(C38&lt;=1000000,1,C38&lt;=5000000,2,C38&lt;=25000000,3,C38&lt;=100000000,4,C38&lt;=500000000,5,C38&lt;=2000000000,6,C38&gt;2000000000,7), 0)</f>
        <v>2</v>
      </c>
      <c r="F38" s="28" cm="1">
        <f t="array" ref="F38">IF(D38 &gt; 0, _xlfn.IFS(D38&lt;=1000000,1,D38&lt;=5000000,2,D38&lt;=25000000,3,D38&lt;=100000000,4,D38&lt;=500000000,5,D38&lt;=2000000000,6,D38&gt;2000000000,7), 0)</f>
        <v>2</v>
      </c>
      <c r="G38" s="29">
        <f t="shared" si="9"/>
        <v>5211</v>
      </c>
      <c r="H38" s="22">
        <f t="shared" si="10"/>
        <v>660.56</v>
      </c>
      <c r="I38" s="22">
        <f t="shared" si="2"/>
        <v>198.52</v>
      </c>
      <c r="J38" s="21" cm="1">
        <f t="array" ref="J38">IF(E38 &gt; 0, INDEX(Turnover_Bands_Min, E38), 0)</f>
        <v>1000000</v>
      </c>
      <c r="K38" s="21" cm="1">
        <f t="array" ref="K38">IF(F38 &gt; 0, INDEX(Turnover_Bands_Min, F38), 0)</f>
        <v>1000000</v>
      </c>
      <c r="L38" s="30">
        <f t="shared" si="5"/>
        <v>2675000</v>
      </c>
      <c r="M38" s="30">
        <f t="shared" si="6"/>
        <v>2675000</v>
      </c>
      <c r="N38" s="31">
        <f t="shared" si="11"/>
        <v>216.07</v>
      </c>
      <c r="O38" s="31">
        <f t="shared" si="12"/>
        <v>64.83</v>
      </c>
      <c r="P38" s="31">
        <f t="shared" si="7"/>
        <v>577.99</v>
      </c>
      <c r="Q38" s="31">
        <f t="shared" si="8"/>
        <v>173.42999999999998</v>
      </c>
    </row>
    <row r="39" spans="1:17" x14ac:dyDescent="0.3">
      <c r="A39" s="32">
        <v>38</v>
      </c>
      <c r="B39" s="33">
        <v>185</v>
      </c>
      <c r="C39" s="34">
        <v>3775000</v>
      </c>
      <c r="D39" s="34"/>
      <c r="E39" s="28" cm="1">
        <f t="array" ref="E39">IF(C39 &gt; 0, _xlfn.IFS(C39&lt;=1000000,1,C39&lt;=5000000,2,C39&lt;=25000000,3,C39&lt;=100000000,4,C39&lt;=500000000,5,C39&lt;=2000000000,6,C39&gt;2000000000,7), 0)</f>
        <v>2</v>
      </c>
      <c r="F39" s="28" cm="1">
        <f t="array" ref="F39">IF(D39 &gt; 0, _xlfn.IFS(D39&lt;=1000000,1,D39&lt;=5000000,2,D39&lt;=25000000,3,D39&lt;=100000000,4,D39&lt;=500000000,5,D39&lt;=2000000000,6,D39&gt;2000000000,7), 0)</f>
        <v>0</v>
      </c>
      <c r="G39" s="29">
        <f t="shared" si="9"/>
        <v>4961</v>
      </c>
      <c r="H39" s="22">
        <f t="shared" si="10"/>
        <v>660.56</v>
      </c>
      <c r="I39" s="22">
        <f t="shared" si="2"/>
        <v>0</v>
      </c>
      <c r="J39" s="21" cm="1">
        <f t="array" ref="J39">IF(E39 &gt; 0, INDEX(Turnover_Bands_Min, E39), 0)</f>
        <v>1000000</v>
      </c>
      <c r="K39" s="21" cm="1">
        <f t="array" ref="K39">IF(F39 &gt; 0, INDEX(Turnover_Bands_Min, F39), 0)</f>
        <v>0</v>
      </c>
      <c r="L39" s="30">
        <f t="shared" si="5"/>
        <v>2775000</v>
      </c>
      <c r="M39" s="30">
        <f t="shared" si="6"/>
        <v>0</v>
      </c>
      <c r="N39" s="31">
        <f t="shared" si="11"/>
        <v>216.07</v>
      </c>
      <c r="O39" s="31">
        <f t="shared" si="12"/>
        <v>0</v>
      </c>
      <c r="P39" s="31">
        <f t="shared" si="7"/>
        <v>599.6</v>
      </c>
      <c r="Q39" s="31">
        <f t="shared" si="8"/>
        <v>0</v>
      </c>
    </row>
    <row r="40" spans="1:17" x14ac:dyDescent="0.3">
      <c r="A40" s="32">
        <v>39</v>
      </c>
      <c r="B40" s="33">
        <v>190</v>
      </c>
      <c r="C40" s="34">
        <v>3875000</v>
      </c>
      <c r="D40" s="34">
        <v>3875000</v>
      </c>
      <c r="E40" s="28" cm="1">
        <f t="array" ref="E40">IF(C40 &gt; 0, _xlfn.IFS(C40&lt;=1000000,1,C40&lt;=5000000,2,C40&lt;=25000000,3,C40&lt;=100000000,4,C40&lt;=500000000,5,C40&lt;=2000000000,6,C40&gt;2000000000,7), 0)</f>
        <v>2</v>
      </c>
      <c r="F40" s="28" cm="1">
        <f t="array" ref="F40">IF(D40 &gt; 0, _xlfn.IFS(D40&lt;=1000000,1,D40&lt;=5000000,2,D40&lt;=25000000,3,D40&lt;=100000000,4,D40&lt;=500000000,5,D40&lt;=2000000000,6,D40&gt;2000000000,7), 0)</f>
        <v>2</v>
      </c>
      <c r="G40" s="29">
        <f t="shared" si="9"/>
        <v>5467</v>
      </c>
      <c r="H40" s="22">
        <f t="shared" si="10"/>
        <v>660.56</v>
      </c>
      <c r="I40" s="22">
        <f t="shared" si="2"/>
        <v>198.52</v>
      </c>
      <c r="J40" s="21" cm="1">
        <f t="array" ref="J40">IF(E40 &gt; 0, INDEX(Turnover_Bands_Min, E40), 0)</f>
        <v>1000000</v>
      </c>
      <c r="K40" s="21" cm="1">
        <f t="array" ref="K40">IF(F40 &gt; 0, INDEX(Turnover_Bands_Min, F40), 0)</f>
        <v>1000000</v>
      </c>
      <c r="L40" s="30">
        <f t="shared" si="5"/>
        <v>2875000</v>
      </c>
      <c r="M40" s="30">
        <f t="shared" si="6"/>
        <v>2875000</v>
      </c>
      <c r="N40" s="31">
        <f t="shared" si="11"/>
        <v>216.07</v>
      </c>
      <c r="O40" s="31">
        <f t="shared" si="12"/>
        <v>64.83</v>
      </c>
      <c r="P40" s="31">
        <f t="shared" si="7"/>
        <v>621.21</v>
      </c>
      <c r="Q40" s="31">
        <f t="shared" si="8"/>
        <v>186.39</v>
      </c>
    </row>
    <row r="41" spans="1:17" x14ac:dyDescent="0.3">
      <c r="A41" s="32">
        <v>40</v>
      </c>
      <c r="B41" s="33">
        <v>195</v>
      </c>
      <c r="C41" s="34"/>
      <c r="D41" s="34">
        <v>3975000</v>
      </c>
      <c r="E41" s="28" cm="1">
        <f t="array" ref="E41">IF(C41 &gt; 0, _xlfn.IFS(C41&lt;=1000000,1,C41&lt;=5000000,2,C41&lt;=25000000,3,C41&lt;=100000000,4,C41&lt;=500000000,5,C41&lt;=2000000000,6,C41&gt;2000000000,7), 0)</f>
        <v>0</v>
      </c>
      <c r="F41" s="28" cm="1">
        <f t="array" ref="F41">IF(D41 &gt; 0, _xlfn.IFS(D41&lt;=1000000,1,D41&lt;=5000000,2,D41&lt;=25000000,3,D41&lt;=100000000,4,D41&lt;=500000000,5,D41&lt;=2000000000,6,D41&gt;2000000000,7), 0)</f>
        <v>2</v>
      </c>
      <c r="G41" s="29">
        <f t="shared" si="9"/>
        <v>4292</v>
      </c>
      <c r="H41" s="22">
        <f t="shared" si="10"/>
        <v>0</v>
      </c>
      <c r="I41" s="22">
        <f t="shared" si="2"/>
        <v>198.52</v>
      </c>
      <c r="J41" s="21" cm="1">
        <f t="array" ref="J41">IF(E41 &gt; 0, INDEX(Turnover_Bands_Min, E41), 0)</f>
        <v>0</v>
      </c>
      <c r="K41" s="21" cm="1">
        <f t="array" ref="K41">IF(F41 &gt; 0, INDEX(Turnover_Bands_Min, F41), 0)</f>
        <v>1000000</v>
      </c>
      <c r="L41" s="30">
        <f t="shared" si="5"/>
        <v>0</v>
      </c>
      <c r="M41" s="30">
        <f t="shared" si="6"/>
        <v>2975000</v>
      </c>
      <c r="N41" s="31">
        <f t="shared" si="11"/>
        <v>0</v>
      </c>
      <c r="O41" s="31">
        <f t="shared" si="12"/>
        <v>64.83</v>
      </c>
      <c r="P41" s="31">
        <f t="shared" si="7"/>
        <v>0</v>
      </c>
      <c r="Q41" s="31">
        <f t="shared" si="8"/>
        <v>192.87</v>
      </c>
    </row>
    <row r="42" spans="1:17" x14ac:dyDescent="0.3">
      <c r="A42" s="32">
        <v>41</v>
      </c>
      <c r="B42" s="33">
        <v>200</v>
      </c>
      <c r="C42" s="34">
        <v>4075000</v>
      </c>
      <c r="D42" s="34">
        <v>4075000</v>
      </c>
      <c r="E42" s="28" cm="1">
        <f t="array" ref="E42">IF(C42 &gt; 0, _xlfn.IFS(C42&lt;=1000000,1,C42&lt;=5000000,2,C42&lt;=25000000,3,C42&lt;=100000000,4,C42&lt;=500000000,5,C42&lt;=2000000000,6,C42&gt;2000000000,7), 0)</f>
        <v>2</v>
      </c>
      <c r="F42" s="28" cm="1">
        <f t="array" ref="F42">IF(D42 &gt; 0, _xlfn.IFS(D42&lt;=1000000,1,D42&lt;=5000000,2,D42&lt;=25000000,3,D42&lt;=100000000,4,D42&lt;=500000000,5,D42&lt;=2000000000,6,D42&gt;2000000000,7), 0)</f>
        <v>2</v>
      </c>
      <c r="G42" s="29">
        <f t="shared" si="9"/>
        <v>5723</v>
      </c>
      <c r="H42" s="22">
        <f t="shared" si="10"/>
        <v>660.56</v>
      </c>
      <c r="I42" s="22">
        <f t="shared" si="2"/>
        <v>198.52</v>
      </c>
      <c r="J42" s="21" cm="1">
        <f t="array" ref="J42">IF(E42 &gt; 0, INDEX(Turnover_Bands_Min, E42), 0)</f>
        <v>1000000</v>
      </c>
      <c r="K42" s="21" cm="1">
        <f t="array" ref="K42">IF(F42 &gt; 0, INDEX(Turnover_Bands_Min, F42), 0)</f>
        <v>1000000</v>
      </c>
      <c r="L42" s="30">
        <f t="shared" si="5"/>
        <v>3075000</v>
      </c>
      <c r="M42" s="30">
        <f t="shared" si="6"/>
        <v>3075000</v>
      </c>
      <c r="N42" s="31">
        <f t="shared" si="11"/>
        <v>216.07</v>
      </c>
      <c r="O42" s="31">
        <f t="shared" si="12"/>
        <v>64.83</v>
      </c>
      <c r="P42" s="31">
        <f t="shared" si="7"/>
        <v>664.42</v>
      </c>
      <c r="Q42" s="31">
        <f t="shared" si="8"/>
        <v>199.35999999999999</v>
      </c>
    </row>
    <row r="43" spans="1:17" x14ac:dyDescent="0.3">
      <c r="A43" s="32">
        <v>42</v>
      </c>
      <c r="B43" s="33">
        <v>205</v>
      </c>
      <c r="C43" s="34">
        <v>4175000</v>
      </c>
      <c r="D43" s="34"/>
      <c r="E43" s="28" cm="1">
        <f t="array" ref="E43">IF(C43 &gt; 0, _xlfn.IFS(C43&lt;=1000000,1,C43&lt;=5000000,2,C43&lt;=25000000,3,C43&lt;=100000000,4,C43&lt;=500000000,5,C43&lt;=2000000000,6,C43&gt;2000000000,7), 0)</f>
        <v>2</v>
      </c>
      <c r="F43" s="28" cm="1">
        <f t="array" ref="F43">IF(D43 &gt; 0, _xlfn.IFS(D43&lt;=1000000,1,D43&lt;=5000000,2,D43&lt;=25000000,3,D43&lt;=100000000,4,D43&lt;=500000000,5,D43&lt;=2000000000,6,D43&gt;2000000000,7), 0)</f>
        <v>0</v>
      </c>
      <c r="G43" s="29">
        <f t="shared" si="9"/>
        <v>5447</v>
      </c>
      <c r="H43" s="22">
        <f t="shared" si="10"/>
        <v>660.56</v>
      </c>
      <c r="I43" s="22">
        <f t="shared" si="2"/>
        <v>0</v>
      </c>
      <c r="J43" s="21" cm="1">
        <f t="array" ref="J43">IF(E43 &gt; 0, INDEX(Turnover_Bands_Min, E43), 0)</f>
        <v>1000000</v>
      </c>
      <c r="K43" s="21" cm="1">
        <f t="array" ref="K43">IF(F43 &gt; 0, INDEX(Turnover_Bands_Min, F43), 0)</f>
        <v>0</v>
      </c>
      <c r="L43" s="30">
        <f t="shared" si="5"/>
        <v>3175000</v>
      </c>
      <c r="M43" s="30">
        <f t="shared" si="6"/>
        <v>0</v>
      </c>
      <c r="N43" s="31">
        <f t="shared" si="11"/>
        <v>216.07</v>
      </c>
      <c r="O43" s="31">
        <f t="shared" si="12"/>
        <v>0</v>
      </c>
      <c r="P43" s="31">
        <f t="shared" si="7"/>
        <v>686.03</v>
      </c>
      <c r="Q43" s="31">
        <f t="shared" si="8"/>
        <v>0</v>
      </c>
    </row>
    <row r="44" spans="1:17" x14ac:dyDescent="0.3">
      <c r="A44" s="32">
        <v>43</v>
      </c>
      <c r="B44" s="33">
        <v>210</v>
      </c>
      <c r="C44" s="34"/>
      <c r="D44" s="34">
        <v>4275000</v>
      </c>
      <c r="E44" s="28" cm="1">
        <f t="array" ref="E44">IF(C44 &gt; 0, _xlfn.IFS(C44&lt;=1000000,1,C44&lt;=5000000,2,C44&lt;=25000000,3,C44&lt;=100000000,4,C44&lt;=500000000,5,C44&lt;=2000000000,6,C44&gt;2000000000,7), 0)</f>
        <v>0</v>
      </c>
      <c r="F44" s="28" cm="1">
        <f t="array" ref="F44">IF(D44 &gt; 0, _xlfn.IFS(D44&lt;=1000000,1,D44&lt;=5000000,2,D44&lt;=25000000,3,D44&lt;=100000000,4,D44&lt;=500000000,5,D44&lt;=2000000000,6,D44&gt;2000000000,7), 0)</f>
        <v>2</v>
      </c>
      <c r="G44" s="29">
        <f t="shared" si="9"/>
        <v>4611</v>
      </c>
      <c r="H44" s="22">
        <f t="shared" si="10"/>
        <v>0</v>
      </c>
      <c r="I44" s="22">
        <f t="shared" si="2"/>
        <v>198.52</v>
      </c>
      <c r="J44" s="21" cm="1">
        <f t="array" ref="J44">IF(E44 &gt; 0, INDEX(Turnover_Bands_Min, E44), 0)</f>
        <v>0</v>
      </c>
      <c r="K44" s="21" cm="1">
        <f t="array" ref="K44">IF(F44 &gt; 0, INDEX(Turnover_Bands_Min, F44), 0)</f>
        <v>1000000</v>
      </c>
      <c r="L44" s="30">
        <f t="shared" si="5"/>
        <v>0</v>
      </c>
      <c r="M44" s="30">
        <f t="shared" si="6"/>
        <v>3275000</v>
      </c>
      <c r="N44" s="31">
        <f t="shared" si="11"/>
        <v>0</v>
      </c>
      <c r="O44" s="31">
        <f t="shared" si="12"/>
        <v>64.83</v>
      </c>
      <c r="P44" s="31">
        <f t="shared" si="7"/>
        <v>0</v>
      </c>
      <c r="Q44" s="31">
        <f t="shared" si="8"/>
        <v>212.32</v>
      </c>
    </row>
    <row r="45" spans="1:17" x14ac:dyDescent="0.3">
      <c r="A45" s="32">
        <v>44</v>
      </c>
      <c r="B45" s="33">
        <v>215</v>
      </c>
      <c r="C45" s="34">
        <v>4375000</v>
      </c>
      <c r="D45" s="34">
        <v>4375000</v>
      </c>
      <c r="E45" s="28" cm="1">
        <f t="array" ref="E45">IF(C45 &gt; 0, _xlfn.IFS(C45&lt;=1000000,1,C45&lt;=5000000,2,C45&lt;=25000000,3,C45&lt;=100000000,4,C45&lt;=500000000,5,C45&lt;=2000000000,6,C45&gt;2000000000,7), 0)</f>
        <v>2</v>
      </c>
      <c r="F45" s="28" cm="1">
        <f t="array" ref="F45">IF(D45 &gt; 0, _xlfn.IFS(D45&lt;=1000000,1,D45&lt;=5000000,2,D45&lt;=25000000,3,D45&lt;=100000000,4,D45&lt;=500000000,5,D45&lt;=2000000000,6,D45&gt;2000000000,7), 0)</f>
        <v>2</v>
      </c>
      <c r="G45" s="29">
        <f t="shared" si="9"/>
        <v>6108</v>
      </c>
      <c r="H45" s="22">
        <f t="shared" si="10"/>
        <v>660.56</v>
      </c>
      <c r="I45" s="22">
        <f t="shared" si="2"/>
        <v>198.52</v>
      </c>
      <c r="J45" s="21" cm="1">
        <f t="array" ref="J45">IF(E45 &gt; 0, INDEX(Turnover_Bands_Min, E45), 0)</f>
        <v>1000000</v>
      </c>
      <c r="K45" s="21" cm="1">
        <f t="array" ref="K45">IF(F45 &gt; 0, INDEX(Turnover_Bands_Min, F45), 0)</f>
        <v>1000000</v>
      </c>
      <c r="L45" s="30">
        <f t="shared" si="5"/>
        <v>3375000</v>
      </c>
      <c r="M45" s="30">
        <f t="shared" si="6"/>
        <v>3375000</v>
      </c>
      <c r="N45" s="31">
        <f t="shared" si="11"/>
        <v>216.07</v>
      </c>
      <c r="O45" s="31">
        <f t="shared" si="12"/>
        <v>64.83</v>
      </c>
      <c r="P45" s="31">
        <f t="shared" si="7"/>
        <v>729.24</v>
      </c>
      <c r="Q45" s="31">
        <f t="shared" si="8"/>
        <v>218.81</v>
      </c>
    </row>
    <row r="46" spans="1:17" x14ac:dyDescent="0.3">
      <c r="A46" s="32">
        <v>45</v>
      </c>
      <c r="B46" s="33">
        <v>220</v>
      </c>
      <c r="C46" s="34">
        <v>4475000</v>
      </c>
      <c r="D46" s="34"/>
      <c r="E46" s="28" cm="1">
        <f t="array" ref="E46">IF(C46 &gt; 0, _xlfn.IFS(C46&lt;=1000000,1,C46&lt;=5000000,2,C46&lt;=25000000,3,C46&lt;=100000000,4,C46&lt;=500000000,5,C46&lt;=2000000000,6,C46&gt;2000000000,7), 0)</f>
        <v>2</v>
      </c>
      <c r="F46" s="28" cm="1">
        <f t="array" ref="F46">IF(D46 &gt; 0, _xlfn.IFS(D46&lt;=1000000,1,D46&lt;=5000000,2,D46&lt;=25000000,3,D46&lt;=100000000,4,D46&lt;=500000000,5,D46&lt;=2000000000,6,D46&gt;2000000000,7), 0)</f>
        <v>0</v>
      </c>
      <c r="G46" s="29">
        <f t="shared" si="9"/>
        <v>5812</v>
      </c>
      <c r="H46" s="22">
        <f t="shared" si="10"/>
        <v>660.56</v>
      </c>
      <c r="I46" s="22">
        <f t="shared" si="2"/>
        <v>0</v>
      </c>
      <c r="J46" s="21" cm="1">
        <f t="array" ref="J46">IF(E46 &gt; 0, INDEX(Turnover_Bands_Min, E46), 0)</f>
        <v>1000000</v>
      </c>
      <c r="K46" s="21" cm="1">
        <f t="array" ref="K46">IF(F46 &gt; 0, INDEX(Turnover_Bands_Min, F46), 0)</f>
        <v>0</v>
      </c>
      <c r="L46" s="30">
        <f t="shared" si="5"/>
        <v>3475000</v>
      </c>
      <c r="M46" s="30">
        <f t="shared" si="6"/>
        <v>0</v>
      </c>
      <c r="N46" s="31">
        <f t="shared" si="11"/>
        <v>216.07</v>
      </c>
      <c r="O46" s="31">
        <f t="shared" si="12"/>
        <v>0</v>
      </c>
      <c r="P46" s="31">
        <f t="shared" si="7"/>
        <v>750.85</v>
      </c>
      <c r="Q46" s="31">
        <f t="shared" si="8"/>
        <v>0</v>
      </c>
    </row>
    <row r="47" spans="1:17" x14ac:dyDescent="0.3">
      <c r="A47" s="32">
        <v>46</v>
      </c>
      <c r="B47" s="33">
        <v>225</v>
      </c>
      <c r="C47" s="34">
        <v>4575000</v>
      </c>
      <c r="D47" s="34">
        <v>4575000</v>
      </c>
      <c r="E47" s="28" cm="1">
        <f t="array" ref="E47">IF(C47 &gt; 0, _xlfn.IFS(C47&lt;=1000000,1,C47&lt;=5000000,2,C47&lt;=25000000,3,C47&lt;=100000000,4,C47&lt;=500000000,5,C47&lt;=2000000000,6,C47&gt;2000000000,7), 0)</f>
        <v>2</v>
      </c>
      <c r="F47" s="28" cm="1">
        <f t="array" ref="F47">IF(D47 &gt; 0, _xlfn.IFS(D47&lt;=1000000,1,D47&lt;=5000000,2,D47&lt;=25000000,3,D47&lt;=100000000,4,D47&lt;=500000000,5,D47&lt;=2000000000,6,D47&gt;2000000000,7), 0)</f>
        <v>2</v>
      </c>
      <c r="G47" s="29">
        <f t="shared" si="9"/>
        <v>6364</v>
      </c>
      <c r="H47" s="22">
        <f t="shared" si="10"/>
        <v>660.56</v>
      </c>
      <c r="I47" s="22">
        <f t="shared" si="2"/>
        <v>198.52</v>
      </c>
      <c r="J47" s="21" cm="1">
        <f t="array" ref="J47">IF(E47 &gt; 0, INDEX(Turnover_Bands_Min, E47), 0)</f>
        <v>1000000</v>
      </c>
      <c r="K47" s="21" cm="1">
        <f t="array" ref="K47">IF(F47 &gt; 0, INDEX(Turnover_Bands_Min, F47), 0)</f>
        <v>1000000</v>
      </c>
      <c r="L47" s="30">
        <f t="shared" si="5"/>
        <v>3575000</v>
      </c>
      <c r="M47" s="30">
        <f t="shared" si="6"/>
        <v>3575000</v>
      </c>
      <c r="N47" s="31">
        <f t="shared" si="11"/>
        <v>216.07</v>
      </c>
      <c r="O47" s="31">
        <f t="shared" si="12"/>
        <v>64.83</v>
      </c>
      <c r="P47" s="31">
        <f t="shared" si="7"/>
        <v>772.46</v>
      </c>
      <c r="Q47" s="31">
        <f t="shared" si="8"/>
        <v>231.76999999999998</v>
      </c>
    </row>
    <row r="48" spans="1:17" x14ac:dyDescent="0.3">
      <c r="A48" s="32">
        <v>47</v>
      </c>
      <c r="B48" s="33">
        <v>230</v>
      </c>
      <c r="C48" s="34"/>
      <c r="D48" s="34">
        <v>4675000</v>
      </c>
      <c r="E48" s="28" cm="1">
        <f t="array" ref="E48">IF(C48 &gt; 0, _xlfn.IFS(C48&lt;=1000000,1,C48&lt;=5000000,2,C48&lt;=25000000,3,C48&lt;=100000000,4,C48&lt;=500000000,5,C48&lt;=2000000000,6,C48&gt;2000000000,7), 0)</f>
        <v>0</v>
      </c>
      <c r="F48" s="28" cm="1">
        <f t="array" ref="F48">IF(D48 &gt; 0, _xlfn.IFS(D48&lt;=1000000,1,D48&lt;=5000000,2,D48&lt;=25000000,3,D48&lt;=100000000,4,D48&lt;=500000000,5,D48&lt;=2000000000,6,D48&gt;2000000000,7), 0)</f>
        <v>2</v>
      </c>
      <c r="G48" s="29">
        <f t="shared" si="9"/>
        <v>5037</v>
      </c>
      <c r="H48" s="22">
        <f t="shared" si="10"/>
        <v>0</v>
      </c>
      <c r="I48" s="22">
        <f t="shared" si="2"/>
        <v>198.52</v>
      </c>
      <c r="J48" s="21" cm="1">
        <f t="array" ref="J48">IF(E48 &gt; 0, INDEX(Turnover_Bands_Min, E48), 0)</f>
        <v>0</v>
      </c>
      <c r="K48" s="21" cm="1">
        <f t="array" ref="K48">IF(F48 &gt; 0, INDEX(Turnover_Bands_Min, F48), 0)</f>
        <v>1000000</v>
      </c>
      <c r="L48" s="30">
        <f t="shared" si="5"/>
        <v>0</v>
      </c>
      <c r="M48" s="30">
        <f t="shared" si="6"/>
        <v>3675000</v>
      </c>
      <c r="N48" s="31">
        <f t="shared" si="11"/>
        <v>0</v>
      </c>
      <c r="O48" s="31">
        <f t="shared" si="12"/>
        <v>64.83</v>
      </c>
      <c r="P48" s="31">
        <f t="shared" si="7"/>
        <v>0</v>
      </c>
      <c r="Q48" s="31">
        <f t="shared" si="8"/>
        <v>238.26</v>
      </c>
    </row>
    <row r="49" spans="1:17" x14ac:dyDescent="0.3">
      <c r="A49" s="32">
        <v>48</v>
      </c>
      <c r="B49" s="33">
        <v>235</v>
      </c>
      <c r="C49" s="34">
        <v>4775000</v>
      </c>
      <c r="D49" s="34">
        <v>4775000</v>
      </c>
      <c r="E49" s="28" cm="1">
        <f t="array" ref="E49">IF(C49 &gt; 0, _xlfn.IFS(C49&lt;=1000000,1,C49&lt;=5000000,2,C49&lt;=25000000,3,C49&lt;=100000000,4,C49&lt;=500000000,5,C49&lt;=2000000000,6,C49&gt;2000000000,7), 0)</f>
        <v>2</v>
      </c>
      <c r="F49" s="28" cm="1">
        <f t="array" ref="F49">IF(D49 &gt; 0, _xlfn.IFS(D49&lt;=1000000,1,D49&lt;=5000000,2,D49&lt;=25000000,3,D49&lt;=100000000,4,D49&lt;=500000000,5,D49&lt;=2000000000,6,D49&gt;2000000000,7), 0)</f>
        <v>2</v>
      </c>
      <c r="G49" s="29">
        <f t="shared" si="9"/>
        <v>6620</v>
      </c>
      <c r="H49" s="22">
        <f t="shared" si="10"/>
        <v>660.56</v>
      </c>
      <c r="I49" s="22">
        <f t="shared" si="2"/>
        <v>198.52</v>
      </c>
      <c r="J49" s="21" cm="1">
        <f t="array" ref="J49">IF(E49 &gt; 0, INDEX(Turnover_Bands_Min, E49), 0)</f>
        <v>1000000</v>
      </c>
      <c r="K49" s="21" cm="1">
        <f t="array" ref="K49">IF(F49 &gt; 0, INDEX(Turnover_Bands_Min, F49), 0)</f>
        <v>1000000</v>
      </c>
      <c r="L49" s="30">
        <f t="shared" si="5"/>
        <v>3775000</v>
      </c>
      <c r="M49" s="30">
        <f t="shared" si="6"/>
        <v>3775000</v>
      </c>
      <c r="N49" s="31">
        <f t="shared" si="11"/>
        <v>216.07</v>
      </c>
      <c r="O49" s="31">
        <f t="shared" si="12"/>
        <v>64.83</v>
      </c>
      <c r="P49" s="31">
        <f t="shared" si="7"/>
        <v>815.67</v>
      </c>
      <c r="Q49" s="31">
        <f t="shared" si="8"/>
        <v>244.73999999999998</v>
      </c>
    </row>
    <row r="50" spans="1:17" x14ac:dyDescent="0.3">
      <c r="A50" s="35">
        <v>49</v>
      </c>
      <c r="B50" s="33">
        <v>240</v>
      </c>
      <c r="C50" s="36">
        <v>4875000</v>
      </c>
      <c r="D50" s="36"/>
      <c r="E50" s="28" cm="1">
        <f t="array" ref="E50">IF(C50 &gt; 0, _xlfn.IFS(C50&lt;=1000000,1,C50&lt;=5000000,2,C50&lt;=25000000,3,C50&lt;=100000000,4,C50&lt;=500000000,5,C50&lt;=2000000000,6,C50&gt;2000000000,7), 0)</f>
        <v>2</v>
      </c>
      <c r="F50" s="28" cm="1">
        <f t="array" ref="F50">IF(D50 &gt; 0, _xlfn.IFS(D50&lt;=1000000,1,D50&lt;=5000000,2,D50&lt;=25000000,3,D50&lt;=100000000,4,D50&lt;=500000000,5,D50&lt;=2000000000,6,D50&gt;2000000000,7), 0)</f>
        <v>0</v>
      </c>
      <c r="G50" s="29">
        <f t="shared" si="9"/>
        <v>6298</v>
      </c>
      <c r="H50" s="22">
        <f t="shared" si="10"/>
        <v>660.56</v>
      </c>
      <c r="I50" s="22">
        <f t="shared" si="2"/>
        <v>0</v>
      </c>
      <c r="J50" s="21" cm="1">
        <f t="array" ref="J50">IF(E50 &gt; 0, INDEX(Turnover_Bands_Min, E50), 0)</f>
        <v>1000000</v>
      </c>
      <c r="K50" s="21" cm="1">
        <f t="array" ref="K50">IF(F50 &gt; 0, INDEX(Turnover_Bands_Min, F50), 0)</f>
        <v>0</v>
      </c>
      <c r="L50" s="30">
        <f t="shared" si="5"/>
        <v>3875000</v>
      </c>
      <c r="M50" s="30">
        <f t="shared" si="6"/>
        <v>0</v>
      </c>
      <c r="N50" s="31">
        <f t="shared" si="11"/>
        <v>216.07</v>
      </c>
      <c r="O50" s="31">
        <f t="shared" si="12"/>
        <v>0</v>
      </c>
      <c r="P50" s="31">
        <f t="shared" si="7"/>
        <v>837.28</v>
      </c>
      <c r="Q50" s="31">
        <f t="shared" si="8"/>
        <v>0</v>
      </c>
    </row>
    <row r="51" spans="1:17" x14ac:dyDescent="0.3">
      <c r="A51" s="37">
        <v>50</v>
      </c>
      <c r="B51" s="33">
        <v>245</v>
      </c>
      <c r="C51" s="38">
        <v>4975000</v>
      </c>
      <c r="D51" s="38">
        <v>4975000</v>
      </c>
      <c r="E51" s="28" cm="1">
        <f t="array" ref="E51">IF(C51 &gt; 0, _xlfn.IFS(C51&lt;=1000000,1,C51&lt;=5000000,2,C51&lt;=25000000,3,C51&lt;=100000000,4,C51&lt;=500000000,5,C51&lt;=2000000000,6,C51&gt;2000000000,7), 0)</f>
        <v>2</v>
      </c>
      <c r="F51" s="28" cm="1">
        <f t="array" ref="F51">IF(D51 &gt; 0, _xlfn.IFS(D51&lt;=1000000,1,D51&lt;=5000000,2,D51&lt;=25000000,3,D51&lt;=100000000,4,D51&lt;=500000000,5,D51&lt;=2000000000,6,D51&gt;2000000000,7), 0)</f>
        <v>2</v>
      </c>
      <c r="G51" s="29">
        <f t="shared" si="9"/>
        <v>6876</v>
      </c>
      <c r="H51" s="22">
        <f t="shared" si="10"/>
        <v>660.56</v>
      </c>
      <c r="I51" s="22">
        <f t="shared" si="2"/>
        <v>198.52</v>
      </c>
      <c r="J51" s="21" cm="1">
        <f t="array" ref="J51">IF(E51 &gt; 0, INDEX(Turnover_Bands_Min, E51), 0)</f>
        <v>1000000</v>
      </c>
      <c r="K51" s="21" cm="1">
        <f t="array" ref="K51">IF(F51 &gt; 0, INDEX(Turnover_Bands_Min, F51), 0)</f>
        <v>1000000</v>
      </c>
      <c r="L51" s="30">
        <f t="shared" si="5"/>
        <v>3975000</v>
      </c>
      <c r="M51" s="30">
        <f t="shared" si="6"/>
        <v>3975000</v>
      </c>
      <c r="N51" s="31">
        <f t="shared" si="11"/>
        <v>216.07</v>
      </c>
      <c r="O51" s="31">
        <f t="shared" si="12"/>
        <v>64.83</v>
      </c>
      <c r="P51" s="31">
        <f t="shared" si="7"/>
        <v>858.88</v>
      </c>
      <c r="Q51" s="31">
        <f t="shared" si="8"/>
        <v>257.7</v>
      </c>
    </row>
  </sheetData>
  <pageMargins left="0.7" right="0.7" top="0.75" bottom="0.75"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100E8-621C-4012-81F5-7FEF298653C2}">
  <sheetPr>
    <tabColor rgb="FF7030A0"/>
  </sheetPr>
  <dimension ref="A1:E70"/>
  <sheetViews>
    <sheetView workbookViewId="0">
      <pane xSplit="1" ySplit="5" topLeftCell="B6" activePane="bottomRight" state="frozen"/>
      <selection pane="topRight" activeCell="B1" sqref="B1"/>
      <selection pane="bottomLeft" activeCell="A6" sqref="A6"/>
      <selection pane="bottomRight" activeCell="C45" sqref="C45"/>
    </sheetView>
  </sheetViews>
  <sheetFormatPr defaultRowHeight="13.2" x14ac:dyDescent="0.25"/>
  <cols>
    <col min="1" max="1" width="33.6640625" customWidth="1"/>
    <col min="2" max="2" width="26.5546875" bestFit="1" customWidth="1"/>
    <col min="3" max="3" width="16" bestFit="1" customWidth="1"/>
    <col min="4" max="4" width="13.6640625" style="17" bestFit="1" customWidth="1"/>
    <col min="5" max="5" width="13.109375" style="84" bestFit="1" customWidth="1"/>
  </cols>
  <sheetData>
    <row r="1" spans="1:5" x14ac:dyDescent="0.25">
      <c r="A1" s="72" t="s">
        <v>103</v>
      </c>
      <c r="B1" s="73">
        <v>0</v>
      </c>
    </row>
    <row r="3" spans="1:5" x14ac:dyDescent="0.25">
      <c r="A3" s="79" t="s">
        <v>104</v>
      </c>
    </row>
    <row r="5" spans="1:5" x14ac:dyDescent="0.25">
      <c r="A5" t="s">
        <v>105</v>
      </c>
      <c r="B5" t="s">
        <v>106</v>
      </c>
      <c r="C5" t="s">
        <v>107</v>
      </c>
      <c r="D5" s="14" t="s">
        <v>108</v>
      </c>
      <c r="E5" s="84" t="s">
        <v>109</v>
      </c>
    </row>
    <row r="6" spans="1:5" x14ac:dyDescent="0.25">
      <c r="A6" t="s">
        <v>110</v>
      </c>
      <c r="B6" s="77">
        <v>0</v>
      </c>
      <c r="C6" s="74">
        <v>660.21</v>
      </c>
      <c r="D6" s="75" t="s">
        <v>111</v>
      </c>
      <c r="E6" s="84">
        <f>ROUND(Inflation_Primary_Parameters[[#This Row],[Current Value]] * IF(Inflation_Primary_Parameters[[#This Row],[Inflate (Y/N)]] = "Y", 1+ Inflation_Rate, 1), 2)</f>
        <v>660.21</v>
      </c>
    </row>
    <row r="7" spans="1:5" x14ac:dyDescent="0.25">
      <c r="A7" t="s">
        <v>112</v>
      </c>
      <c r="B7" s="77">
        <v>1000000</v>
      </c>
      <c r="C7" s="74">
        <v>216.07</v>
      </c>
      <c r="D7" s="75" t="s">
        <v>111</v>
      </c>
      <c r="E7" s="84">
        <f>ROUND(Inflation_Primary_Parameters[[#This Row],[Current Value]] * IF(Inflation_Primary_Parameters[[#This Row],[Inflate (Y/N)]] = "Y", 1+ Inflation_Rate, 1), 2)</f>
        <v>216.07</v>
      </c>
    </row>
    <row r="8" spans="1:5" x14ac:dyDescent="0.25">
      <c r="A8" t="s">
        <v>113</v>
      </c>
      <c r="B8" s="77">
        <v>5000000</v>
      </c>
      <c r="C8" s="74">
        <v>90.03</v>
      </c>
      <c r="D8" s="75" t="s">
        <v>111</v>
      </c>
      <c r="E8" s="84">
        <f>ROUND(Inflation_Primary_Parameters[[#This Row],[Current Value]] * IF(Inflation_Primary_Parameters[[#This Row],[Inflate (Y/N)]] = "Y", 1+ Inflation_Rate, 1), 2)</f>
        <v>90.03</v>
      </c>
    </row>
    <row r="9" spans="1:5" x14ac:dyDescent="0.25">
      <c r="A9" t="s">
        <v>114</v>
      </c>
      <c r="B9" s="77">
        <v>25000000</v>
      </c>
      <c r="C9" s="74">
        <v>36.01</v>
      </c>
      <c r="D9" s="75" t="s">
        <v>111</v>
      </c>
      <c r="E9" s="84">
        <f>ROUND(Inflation_Primary_Parameters[[#This Row],[Current Value]] * IF(Inflation_Primary_Parameters[[#This Row],[Inflate (Y/N)]] = "Y", 1+ Inflation_Rate, 1), 2)</f>
        <v>36.01</v>
      </c>
    </row>
    <row r="10" spans="1:5" x14ac:dyDescent="0.25">
      <c r="A10" t="s">
        <v>115</v>
      </c>
      <c r="B10" s="77">
        <v>100000000</v>
      </c>
      <c r="C10" s="74">
        <v>21.6</v>
      </c>
      <c r="D10" s="75" t="s">
        <v>111</v>
      </c>
      <c r="E10" s="84">
        <f>ROUND(Inflation_Primary_Parameters[[#This Row],[Current Value]] * IF(Inflation_Primary_Parameters[[#This Row],[Inflate (Y/N)]] = "Y", 1+ Inflation_Rate, 1), 2)</f>
        <v>21.6</v>
      </c>
    </row>
    <row r="11" spans="1:5" x14ac:dyDescent="0.25">
      <c r="A11" t="s">
        <v>116</v>
      </c>
      <c r="B11" s="77">
        <v>500000000</v>
      </c>
      <c r="C11" s="74">
        <v>18.010000000000002</v>
      </c>
      <c r="D11" s="75" t="s">
        <v>111</v>
      </c>
      <c r="E11" s="84">
        <f>ROUND(Inflation_Primary_Parameters[[#This Row],[Current Value]] * IF(Inflation_Primary_Parameters[[#This Row],[Inflate (Y/N)]] = "Y", 1+ Inflation_Rate, 1), 2)</f>
        <v>18.010000000000002</v>
      </c>
    </row>
    <row r="12" spans="1:5" x14ac:dyDescent="0.25">
      <c r="A12" t="s">
        <v>117</v>
      </c>
      <c r="B12" s="77">
        <v>2000000000</v>
      </c>
      <c r="C12" s="74">
        <v>15.01</v>
      </c>
      <c r="D12" s="75" t="s">
        <v>111</v>
      </c>
      <c r="E12" s="84">
        <f>ROUND(Inflation_Primary_Parameters[[#This Row],[Current Value]] * IF(Inflation_Primary_Parameters[[#This Row],[Inflate (Y/N)]] = "Y", 1+ Inflation_Rate, 1), 2)</f>
        <v>15.01</v>
      </c>
    </row>
    <row r="13" spans="1:5" x14ac:dyDescent="0.25">
      <c r="A13" t="s">
        <v>118</v>
      </c>
      <c r="C13">
        <v>97</v>
      </c>
      <c r="D13" s="17" t="s">
        <v>111</v>
      </c>
      <c r="E13" s="84">
        <f>ROUND(Inflation_Primary_Parameters[[#This Row],[Current Value]] * IF(Inflation_Primary_Parameters[[#This Row],[Inflate (Y/N)]] = "Y", 1+ Inflation_Rate, 1), 2)</f>
        <v>97</v>
      </c>
    </row>
    <row r="14" spans="1:5" x14ac:dyDescent="0.25">
      <c r="A14" t="s">
        <v>119</v>
      </c>
      <c r="C14">
        <v>20</v>
      </c>
      <c r="E14" s="84">
        <f>ROUND(Inflation_Primary_Parameters[[#This Row],[Current Value]] * IF(Inflation_Primary_Parameters[[#This Row],[Inflate (Y/N)]] = "Y", 1+ Inflation_Rate, 1), 2)</f>
        <v>20</v>
      </c>
    </row>
    <row r="15" spans="1:5" x14ac:dyDescent="0.25">
      <c r="E15" s="84">
        <f>ROUND(Inflation_Primary_Parameters[[#This Row],[Current Value]] * IF(Inflation_Primary_Parameters[[#This Row],[Inflate (Y/N)]] = "Y", 1+ Inflation_Rate, 1), 2)</f>
        <v>0</v>
      </c>
    </row>
    <row r="16" spans="1:5" x14ac:dyDescent="0.25">
      <c r="A16" t="s">
        <v>120</v>
      </c>
      <c r="C16">
        <v>10</v>
      </c>
      <c r="E16" s="84">
        <f>ROUND(Inflation_Primary_Parameters[[#This Row],[Current Value]] * IF(Inflation_Primary_Parameters[[#This Row],[Inflate (Y/N)]] = "Y", 1+ Inflation_Rate, 1), 2)</f>
        <v>10</v>
      </c>
    </row>
    <row r="17" spans="1:5" x14ac:dyDescent="0.25">
      <c r="E17" s="84">
        <f>ROUND(Inflation_Primary_Parameters[[#This Row],[Current Value]] * IF(Inflation_Primary_Parameters[[#This Row],[Inflate (Y/N)]] = "Y", 1+ Inflation_Rate, 1), 2)</f>
        <v>0</v>
      </c>
    </row>
    <row r="19" spans="1:5" x14ac:dyDescent="0.25">
      <c r="A19" s="79" t="s">
        <v>121</v>
      </c>
    </row>
    <row r="21" spans="1:5" x14ac:dyDescent="0.25">
      <c r="A21" s="71" t="s">
        <v>122</v>
      </c>
      <c r="B21" s="76">
        <v>0.3</v>
      </c>
    </row>
    <row r="23" spans="1:5" x14ac:dyDescent="0.25">
      <c r="A23" t="s">
        <v>105</v>
      </c>
      <c r="B23" t="s">
        <v>106</v>
      </c>
      <c r="C23" t="s">
        <v>107</v>
      </c>
      <c r="D23" s="17" t="s">
        <v>123</v>
      </c>
      <c r="E23" s="84" t="s">
        <v>109</v>
      </c>
    </row>
    <row r="24" spans="1:5" x14ac:dyDescent="0.25">
      <c r="A24" t="s">
        <v>124</v>
      </c>
      <c r="B24" s="77">
        <v>0</v>
      </c>
      <c r="C24" s="78">
        <v>0</v>
      </c>
      <c r="D24" s="75" t="str">
        <f>IF(Inflation_Derived_Parameters[[#This Row],[New Value]] &gt; Inflation_Derived_Parameters[[#This Row],[Current Value]], "Y", "N")</f>
        <v>N</v>
      </c>
      <c r="E24" s="84">
        <v>0</v>
      </c>
    </row>
    <row r="25" spans="1:5" x14ac:dyDescent="0.25">
      <c r="A25" t="s">
        <v>125</v>
      </c>
      <c r="B25" s="77">
        <v>1000000</v>
      </c>
      <c r="C25" s="78">
        <v>660.56</v>
      </c>
      <c r="D25" s="75" t="str">
        <f>IF(Inflation_Derived_Parameters[[#This Row],[New Value]] &gt; Inflation_Derived_Parameters[[#This Row],[Current Value]], "Y", "N")</f>
        <v>N</v>
      </c>
      <c r="E25" s="78">
        <v>660.56</v>
      </c>
    </row>
    <row r="26" spans="1:5" x14ac:dyDescent="0.25">
      <c r="A26" t="s">
        <v>126</v>
      </c>
      <c r="B26" s="77">
        <v>5000000</v>
      </c>
      <c r="C26" s="78">
        <v>1525.44</v>
      </c>
      <c r="D26" s="75" t="str">
        <f>IF(Inflation_Derived_Parameters[[#This Row],[New Value]] &gt; Inflation_Derived_Parameters[[#This Row],[Current Value]], "Y", "N")</f>
        <v>N</v>
      </c>
      <c r="E26" s="110">
        <v>1525.44</v>
      </c>
    </row>
    <row r="27" spans="1:5" x14ac:dyDescent="0.25">
      <c r="A27" t="s">
        <v>127</v>
      </c>
      <c r="B27" s="77">
        <v>25000000</v>
      </c>
      <c r="C27" s="78">
        <v>3326.02</v>
      </c>
      <c r="D27" s="75" t="str">
        <f>IF(Inflation_Derived_Parameters[[#This Row],[New Value]] &gt; Inflation_Derived_Parameters[[#This Row],[Current Value]], "Y", "N")</f>
        <v>N</v>
      </c>
      <c r="E27" s="84">
        <v>3326.02</v>
      </c>
    </row>
    <row r="28" spans="1:5" x14ac:dyDescent="0.25">
      <c r="A28" t="s">
        <v>128</v>
      </c>
      <c r="B28" s="77">
        <v>100000000</v>
      </c>
      <c r="C28" s="78">
        <v>6027.48</v>
      </c>
      <c r="D28" s="75" t="str">
        <f>IF(Inflation_Derived_Parameters[[#This Row],[New Value]] &gt; Inflation_Derived_Parameters[[#This Row],[Current Value]], "Y", "N")</f>
        <v>N</v>
      </c>
      <c r="E28" s="84">
        <v>6027.48</v>
      </c>
    </row>
    <row r="29" spans="1:5" x14ac:dyDescent="0.25">
      <c r="A29" t="s">
        <v>129</v>
      </c>
      <c r="B29" s="77">
        <v>500000000</v>
      </c>
      <c r="C29" s="78">
        <v>14669.33</v>
      </c>
      <c r="D29" s="75" t="str">
        <f>IF(Inflation_Derived_Parameters[[#This Row],[New Value]] &gt; Inflation_Derived_Parameters[[#This Row],[Current Value]], "Y", "N")</f>
        <v>N</v>
      </c>
      <c r="E29" s="84">
        <v>14669.33</v>
      </c>
    </row>
    <row r="30" spans="1:5" x14ac:dyDescent="0.25">
      <c r="A30" t="s">
        <v>130</v>
      </c>
      <c r="B30" s="77">
        <v>2000000000</v>
      </c>
      <c r="C30" s="78">
        <v>41678.050000000003</v>
      </c>
      <c r="D30" s="75" t="str">
        <f>IF(Inflation_Derived_Parameters[[#This Row],[New Value]] &gt; Inflation_Derived_Parameters[[#This Row],[Current Value]], "Y", "N")</f>
        <v>N</v>
      </c>
      <c r="E30" s="84">
        <v>41678.050000000003</v>
      </c>
    </row>
    <row r="31" spans="1:5" x14ac:dyDescent="0.25">
      <c r="A31" t="s">
        <v>131</v>
      </c>
      <c r="B31" s="77">
        <v>0</v>
      </c>
      <c r="C31" s="78">
        <v>198.06</v>
      </c>
      <c r="D31" s="75" t="str">
        <f>IF(Inflation_Derived_Parameters[[#This Row],[New Value]] &gt; Inflation_Derived_Parameters[[#This Row],[Current Value]], "Y", "N")</f>
        <v>N</v>
      </c>
      <c r="E31" s="84">
        <f>ROUND(E6 * Processor_to_Trader_Conversion, 2)</f>
        <v>198.06</v>
      </c>
    </row>
    <row r="32" spans="1:5" x14ac:dyDescent="0.25">
      <c r="A32" t="s">
        <v>132</v>
      </c>
      <c r="B32" s="77">
        <v>1000000</v>
      </c>
      <c r="C32" s="78">
        <v>64.83</v>
      </c>
      <c r="D32" s="75" t="str">
        <f>IF(Inflation_Derived_Parameters[[#This Row],[New Value]] &gt; Inflation_Derived_Parameters[[#This Row],[Current Value]], "Y", "N")</f>
        <v>N</v>
      </c>
      <c r="E32" s="84">
        <v>64.83</v>
      </c>
    </row>
    <row r="33" spans="1:5" x14ac:dyDescent="0.25">
      <c r="A33" t="s">
        <v>133</v>
      </c>
      <c r="B33" s="77">
        <v>5000000</v>
      </c>
      <c r="C33" s="78">
        <v>27.01</v>
      </c>
      <c r="D33" s="75" t="str">
        <f>IF(Inflation_Derived_Parameters[[#This Row],[New Value]] &gt; Inflation_Derived_Parameters[[#This Row],[Current Value]], "Y", "N")</f>
        <v>N</v>
      </c>
      <c r="E33" s="84">
        <v>27.01</v>
      </c>
    </row>
    <row r="34" spans="1:5" x14ac:dyDescent="0.25">
      <c r="A34" t="s">
        <v>134</v>
      </c>
      <c r="B34" s="77">
        <v>25000000</v>
      </c>
      <c r="C34" s="78">
        <v>10.81</v>
      </c>
      <c r="D34" s="75" t="str">
        <f>IF(Inflation_Derived_Parameters[[#This Row],[New Value]] &gt; Inflation_Derived_Parameters[[#This Row],[Current Value]], "Y", "N")</f>
        <v>N</v>
      </c>
      <c r="E34" s="84">
        <v>10.81</v>
      </c>
    </row>
    <row r="35" spans="1:5" x14ac:dyDescent="0.25">
      <c r="A35" t="s">
        <v>135</v>
      </c>
      <c r="B35" s="77">
        <v>100000000</v>
      </c>
      <c r="C35" s="78">
        <v>6.48</v>
      </c>
      <c r="D35" s="75" t="str">
        <f>IF(Inflation_Derived_Parameters[[#This Row],[New Value]] &gt; Inflation_Derived_Parameters[[#This Row],[Current Value]], "Y", "N")</f>
        <v>N</v>
      </c>
      <c r="E35" s="84">
        <v>6.48</v>
      </c>
    </row>
    <row r="36" spans="1:5" x14ac:dyDescent="0.25">
      <c r="A36" t="s">
        <v>136</v>
      </c>
      <c r="B36" s="77">
        <v>500000000</v>
      </c>
      <c r="C36" s="78">
        <v>5.4</v>
      </c>
      <c r="D36" s="75" t="str">
        <f>IF(Inflation_Derived_Parameters[[#This Row],[New Value]] &gt; Inflation_Derived_Parameters[[#This Row],[Current Value]], "Y", "N")</f>
        <v>N</v>
      </c>
      <c r="E36" s="84">
        <v>5.4</v>
      </c>
    </row>
    <row r="37" spans="1:5" x14ac:dyDescent="0.25">
      <c r="A37" t="s">
        <v>137</v>
      </c>
      <c r="B37" s="77">
        <v>2000000000</v>
      </c>
      <c r="C37" s="78">
        <v>4.5</v>
      </c>
      <c r="D37" s="75" t="str">
        <f>IF(Inflation_Derived_Parameters[[#This Row],[New Value]] &gt; Inflation_Derived_Parameters[[#This Row],[Current Value]], "Y", "N")</f>
        <v>N</v>
      </c>
      <c r="E37" s="84">
        <v>4.5</v>
      </c>
    </row>
    <row r="38" spans="1:5" x14ac:dyDescent="0.25">
      <c r="A38" t="s">
        <v>138</v>
      </c>
      <c r="B38" s="77">
        <v>0</v>
      </c>
      <c r="C38" s="78">
        <v>0</v>
      </c>
      <c r="D38" s="75" t="str">
        <f>IF(Inflation_Derived_Parameters[[#This Row],[New Value]] &gt; Inflation_Derived_Parameters[[#This Row],[Current Value]], "Y", "N")</f>
        <v>N</v>
      </c>
      <c r="E38" s="84">
        <v>0</v>
      </c>
    </row>
    <row r="39" spans="1:5" x14ac:dyDescent="0.25">
      <c r="A39" t="s">
        <v>139</v>
      </c>
      <c r="B39" s="77">
        <v>1000000</v>
      </c>
      <c r="C39" s="78">
        <v>198.52</v>
      </c>
      <c r="D39" s="75" t="str">
        <f>IF(Inflation_Derived_Parameters[[#This Row],[New Value]] &gt; Inflation_Derived_Parameters[[#This Row],[Current Value]], "Y", "N")</f>
        <v>N</v>
      </c>
      <c r="E39" s="84">
        <v>198.52</v>
      </c>
    </row>
    <row r="40" spans="1:5" x14ac:dyDescent="0.25">
      <c r="A40" t="s">
        <v>140</v>
      </c>
      <c r="B40" s="77">
        <v>5000000</v>
      </c>
      <c r="C40" s="78">
        <v>458.56</v>
      </c>
      <c r="D40" s="75" t="str">
        <f>IF(Inflation_Derived_Parameters[[#This Row],[New Value]] &gt; Inflation_Derived_Parameters[[#This Row],[Current Value]], "Y", "N")</f>
        <v>N</v>
      </c>
      <c r="E40" s="84">
        <v>458.56</v>
      </c>
    </row>
    <row r="41" spans="1:5" x14ac:dyDescent="0.25">
      <c r="A41" t="s">
        <v>141</v>
      </c>
      <c r="B41" s="77">
        <v>25000000</v>
      </c>
      <c r="C41" s="78">
        <v>999.55</v>
      </c>
      <c r="D41" s="75" t="str">
        <f>IF(Inflation_Derived_Parameters[[#This Row],[New Value]] &gt; Inflation_Derived_Parameters[[#This Row],[Current Value]], "Y", "N")</f>
        <v>N</v>
      </c>
      <c r="E41" s="84">
        <v>999.55</v>
      </c>
    </row>
    <row r="42" spans="1:5" x14ac:dyDescent="0.25">
      <c r="A42" t="s">
        <v>142</v>
      </c>
      <c r="B42" s="77">
        <v>100000000</v>
      </c>
      <c r="C42" s="78">
        <v>1811.03</v>
      </c>
      <c r="D42" s="75" t="str">
        <f>IF(Inflation_Derived_Parameters[[#This Row],[New Value]] &gt; Inflation_Derived_Parameters[[#This Row],[Current Value]], "Y", "N")</f>
        <v>N</v>
      </c>
      <c r="E42" s="84">
        <v>1811.03</v>
      </c>
    </row>
    <row r="43" spans="1:5" x14ac:dyDescent="0.25">
      <c r="A43" t="s">
        <v>143</v>
      </c>
      <c r="B43" s="77">
        <v>500000000</v>
      </c>
      <c r="C43" s="78">
        <v>4402.1899999999996</v>
      </c>
      <c r="D43" s="75" t="str">
        <f>IF(Inflation_Derived_Parameters[[#This Row],[New Value]] &gt; Inflation_Derived_Parameters[[#This Row],[Current Value]], "Y", "N")</f>
        <v>N</v>
      </c>
      <c r="E43" s="84">
        <v>4402.1899999999996</v>
      </c>
    </row>
    <row r="44" spans="1:5" x14ac:dyDescent="0.25">
      <c r="A44" t="s">
        <v>144</v>
      </c>
      <c r="B44" s="77">
        <v>2000000000</v>
      </c>
      <c r="C44" s="78">
        <v>12499.58</v>
      </c>
      <c r="D44" s="75" t="str">
        <f>IF(Inflation_Derived_Parameters[[#This Row],[New Value]] &gt; Inflation_Derived_Parameters[[#This Row],[Current Value]], "Y", "N")</f>
        <v>N</v>
      </c>
      <c r="E44" s="84">
        <v>12499.58</v>
      </c>
    </row>
    <row r="45" spans="1:5" x14ac:dyDescent="0.25">
      <c r="A45" t="s">
        <v>145</v>
      </c>
      <c r="B45" s="77">
        <v>0</v>
      </c>
      <c r="C45" s="78">
        <f>ROUNDUP(AVERAGE(C25:C26), 0)</f>
        <v>1093</v>
      </c>
      <c r="D45" s="75" t="str">
        <f>IF(Inflation_Derived_Parameters[[#This Row],[New Value]] &gt; Inflation_Derived_Parameters[[#This Row],[Current Value]], "Y", "N")</f>
        <v>N</v>
      </c>
      <c r="E45" s="84">
        <f>ROUNDUP(AVERAGE(E25:E26), 0)</f>
        <v>1093</v>
      </c>
    </row>
    <row r="46" spans="1:5" x14ac:dyDescent="0.25">
      <c r="A46" t="s">
        <v>146</v>
      </c>
      <c r="B46" s="77">
        <v>1000000</v>
      </c>
      <c r="C46" s="78">
        <f t="shared" ref="C46:E49" si="0">ROUNDUP(AVERAGE(C26:C27), 0)</f>
        <v>2426</v>
      </c>
      <c r="D46" s="75" t="str">
        <f>IF(Inflation_Derived_Parameters[[#This Row],[New Value]] &gt; Inflation_Derived_Parameters[[#This Row],[Current Value]], "Y", "N")</f>
        <v>N</v>
      </c>
      <c r="E46" s="84">
        <f t="shared" si="0"/>
        <v>2426</v>
      </c>
    </row>
    <row r="47" spans="1:5" x14ac:dyDescent="0.25">
      <c r="A47" t="s">
        <v>147</v>
      </c>
      <c r="B47" s="77">
        <v>5000000</v>
      </c>
      <c r="C47" s="78">
        <f t="shared" si="0"/>
        <v>4677</v>
      </c>
      <c r="D47" s="75" t="str">
        <f>IF(Inflation_Derived_Parameters[[#This Row],[New Value]] &gt; Inflation_Derived_Parameters[[#This Row],[Current Value]], "Y", "N")</f>
        <v>N</v>
      </c>
      <c r="E47" s="84">
        <f t="shared" si="0"/>
        <v>4677</v>
      </c>
    </row>
    <row r="48" spans="1:5" x14ac:dyDescent="0.25">
      <c r="A48" t="s">
        <v>148</v>
      </c>
      <c r="B48" s="77">
        <v>25000000</v>
      </c>
      <c r="C48" s="78">
        <f t="shared" si="0"/>
        <v>10349</v>
      </c>
      <c r="D48" s="75" t="str">
        <f>IF(Inflation_Derived_Parameters[[#This Row],[New Value]] &gt; Inflation_Derived_Parameters[[#This Row],[Current Value]], "Y", "N")</f>
        <v>N</v>
      </c>
      <c r="E48" s="84">
        <f t="shared" si="0"/>
        <v>10349</v>
      </c>
    </row>
    <row r="49" spans="1:5" x14ac:dyDescent="0.25">
      <c r="A49" t="s">
        <v>149</v>
      </c>
      <c r="B49" s="77">
        <v>100000000</v>
      </c>
      <c r="C49" s="78">
        <f t="shared" si="0"/>
        <v>28174</v>
      </c>
      <c r="D49" s="75" t="str">
        <f>IF(Inflation_Derived_Parameters[[#This Row],[New Value]] &gt; Inflation_Derived_Parameters[[#This Row],[Current Value]], "Y", "N")</f>
        <v>N</v>
      </c>
      <c r="E49" s="84">
        <f t="shared" si="0"/>
        <v>28174</v>
      </c>
    </row>
    <row r="50" spans="1:5" x14ac:dyDescent="0.25">
      <c r="A50" t="s">
        <v>150</v>
      </c>
      <c r="B50" s="77">
        <v>500000000</v>
      </c>
      <c r="C50" s="78">
        <f>ROUNDUP(C30 + 4000000000 / 1000000 * C12, 0)</f>
        <v>101719</v>
      </c>
      <c r="D50" s="75" t="str">
        <f>IF(Inflation_Derived_Parameters[[#This Row],[New Value]] &gt; Inflation_Derived_Parameters[[#This Row],[Current Value]], "Y", "N")</f>
        <v>N</v>
      </c>
      <c r="E50" s="84">
        <f>ROUNDUP(E30 + 4000000000 / 1000000 * E12, 0)</f>
        <v>101719</v>
      </c>
    </row>
    <row r="51" spans="1:5" x14ac:dyDescent="0.25">
      <c r="A51" t="s">
        <v>151</v>
      </c>
      <c r="B51" s="77">
        <v>2000000000</v>
      </c>
      <c r="C51" s="78">
        <f>ROUNDUP(C30 + 8000000000 / 1000000 * C12, 0)</f>
        <v>161759</v>
      </c>
      <c r="D51" s="75" t="str">
        <f>IF(Inflation_Derived_Parameters[[#This Row],[New Value]] &gt; Inflation_Derived_Parameters[[#This Row],[Current Value]], "Y", "N")</f>
        <v>N</v>
      </c>
      <c r="E51" s="84">
        <f>ROUNDUP(E30 + 8000000000 / 1000000 * E12, 0)</f>
        <v>161759</v>
      </c>
    </row>
    <row r="52" spans="1:5" x14ac:dyDescent="0.25">
      <c r="A52" t="s">
        <v>152</v>
      </c>
      <c r="B52" s="77">
        <v>0</v>
      </c>
      <c r="C52" s="78">
        <f>ROUNDUP(AVERAGE(C39:C40), 0)</f>
        <v>329</v>
      </c>
      <c r="D52" s="75" t="str">
        <f>IF(Inflation_Derived_Parameters[[#This Row],[New Value]] &gt; Inflation_Derived_Parameters[[#This Row],[Current Value]], "Y", "N")</f>
        <v>N</v>
      </c>
      <c r="E52" s="84">
        <f>ROUNDUP(AVERAGE(E39:E40), 0)</f>
        <v>329</v>
      </c>
    </row>
    <row r="53" spans="1:5" x14ac:dyDescent="0.25">
      <c r="A53" t="s">
        <v>153</v>
      </c>
      <c r="B53" s="77">
        <v>1000000</v>
      </c>
      <c r="C53" s="78">
        <f t="shared" ref="C53:E56" si="1">ROUNDUP(AVERAGE(C40:C41), 0)</f>
        <v>730</v>
      </c>
      <c r="D53" s="75" t="str">
        <f>IF(Inflation_Derived_Parameters[[#This Row],[New Value]] &gt; Inflation_Derived_Parameters[[#This Row],[Current Value]], "Y", "N")</f>
        <v>N</v>
      </c>
      <c r="E53" s="84">
        <f t="shared" si="1"/>
        <v>730</v>
      </c>
    </row>
    <row r="54" spans="1:5" x14ac:dyDescent="0.25">
      <c r="A54" t="s">
        <v>154</v>
      </c>
      <c r="B54" s="77">
        <v>5000000</v>
      </c>
      <c r="C54" s="78">
        <f t="shared" si="1"/>
        <v>1406</v>
      </c>
      <c r="D54" s="75" t="str">
        <f>IF(Inflation_Derived_Parameters[[#This Row],[New Value]] &gt; Inflation_Derived_Parameters[[#This Row],[Current Value]], "Y", "N")</f>
        <v>N</v>
      </c>
      <c r="E54" s="84">
        <f t="shared" si="1"/>
        <v>1406</v>
      </c>
    </row>
    <row r="55" spans="1:5" x14ac:dyDescent="0.25">
      <c r="A55" t="s">
        <v>155</v>
      </c>
      <c r="B55" s="77">
        <v>25000000</v>
      </c>
      <c r="C55" s="78">
        <f t="shared" si="1"/>
        <v>3107</v>
      </c>
      <c r="D55" s="75" t="str">
        <f>IF(Inflation_Derived_Parameters[[#This Row],[New Value]] &gt; Inflation_Derived_Parameters[[#This Row],[Current Value]], "Y", "N")</f>
        <v>N</v>
      </c>
      <c r="E55" s="84">
        <f t="shared" si="1"/>
        <v>3107</v>
      </c>
    </row>
    <row r="56" spans="1:5" x14ac:dyDescent="0.25">
      <c r="A56" t="s">
        <v>156</v>
      </c>
      <c r="B56" s="77">
        <v>100000000</v>
      </c>
      <c r="C56" s="78">
        <f t="shared" si="1"/>
        <v>8451</v>
      </c>
      <c r="D56" s="75" t="str">
        <f>IF(Inflation_Derived_Parameters[[#This Row],[New Value]] &gt; Inflation_Derived_Parameters[[#This Row],[Current Value]], "Y", "N")</f>
        <v>N</v>
      </c>
      <c r="E56" s="84">
        <f t="shared" si="1"/>
        <v>8451</v>
      </c>
    </row>
    <row r="57" spans="1:5" x14ac:dyDescent="0.25">
      <c r="A57" t="s">
        <v>157</v>
      </c>
      <c r="B57" s="77">
        <v>500000000</v>
      </c>
      <c r="C57" s="78">
        <f>ROUNDUP(C44 + 4000000000 / 1000000 * C37, 0)</f>
        <v>30500</v>
      </c>
      <c r="D57" s="75" t="str">
        <f>IF(Inflation_Derived_Parameters[[#This Row],[New Value]] &gt; Inflation_Derived_Parameters[[#This Row],[Current Value]], "Y", "N")</f>
        <v>N</v>
      </c>
      <c r="E57" s="84">
        <f>ROUNDUP(E44 + 4000000000 / 1000000 * E37, 0)</f>
        <v>30500</v>
      </c>
    </row>
    <row r="58" spans="1:5" x14ac:dyDescent="0.25">
      <c r="A58" t="s">
        <v>158</v>
      </c>
      <c r="B58" s="77">
        <v>2000000000</v>
      </c>
      <c r="C58" s="78">
        <f>ROUNDUP(C44 + 8000000000 / 1000000 * C37, 0)</f>
        <v>48500</v>
      </c>
      <c r="D58" s="75" t="str">
        <f>IF(Inflation_Derived_Parameters[[#This Row],[New Value]] &gt; Inflation_Derived_Parameters[[#This Row],[Current Value]], "Y", "N")</f>
        <v>N</v>
      </c>
      <c r="E58" s="84">
        <f>ROUNDUP(E44 + 8000000000 / 1000000 * E37, 0)</f>
        <v>48500</v>
      </c>
    </row>
    <row r="59" spans="1:5" x14ac:dyDescent="0.25">
      <c r="C59" s="78"/>
      <c r="D59" s="75"/>
    </row>
    <row r="60" spans="1:5" x14ac:dyDescent="0.25">
      <c r="C60" s="78"/>
      <c r="D60" s="75"/>
    </row>
    <row r="61" spans="1:5" x14ac:dyDescent="0.25">
      <c r="C61" s="78"/>
      <c r="D61" s="75"/>
    </row>
    <row r="62" spans="1:5" x14ac:dyDescent="0.25">
      <c r="C62" s="78"/>
      <c r="D62" s="75"/>
    </row>
    <row r="63" spans="1:5" x14ac:dyDescent="0.25">
      <c r="C63" s="78"/>
      <c r="D63" s="75"/>
    </row>
    <row r="64" spans="1:5" x14ac:dyDescent="0.25">
      <c r="C64" s="78"/>
      <c r="D64" s="75"/>
    </row>
    <row r="65" spans="3:4" x14ac:dyDescent="0.25">
      <c r="C65" s="78"/>
      <c r="D65" s="75"/>
    </row>
    <row r="66" spans="3:4" x14ac:dyDescent="0.25">
      <c r="C66" s="78"/>
      <c r="D66" s="75"/>
    </row>
    <row r="67" spans="3:4" x14ac:dyDescent="0.25">
      <c r="C67" s="78"/>
      <c r="D67" s="75"/>
    </row>
    <row r="68" spans="3:4" x14ac:dyDescent="0.25">
      <c r="C68" s="78"/>
      <c r="D68" s="75"/>
    </row>
    <row r="69" spans="3:4" x14ac:dyDescent="0.25">
      <c r="C69" s="78"/>
      <c r="D69" s="75"/>
    </row>
    <row r="70" spans="3:4" x14ac:dyDescent="0.25">
      <c r="C70" s="78"/>
      <c r="D70" s="75"/>
    </row>
  </sheetData>
  <sheetProtection algorithmName="SHA-512" hashValue="14twm045xTSO54um5Wm3vDq1MBW9IlwDostJBVJ+J0ZY8jENqKut6h1A2XwZSac4EJtmhQX4bwWYB7lbl+t+Hw==" saltValue="B6ZDuG5W/ha/Fl33JpN0rA==" spinCount="100000" sheet="1" objects="1" scenarios="1"/>
  <phoneticPr fontId="6" type="noConversion"/>
  <dataValidations disablePrompts="1" count="1">
    <dataValidation type="list" allowBlank="1" showInputMessage="1" showErrorMessage="1" sqref="D6:D17" xr:uid="{94D282E7-6A50-4981-9B30-77D6CEED3A37}">
      <formula1>"Y, N"</formula1>
    </dataValidation>
  </dataValidations>
  <pageMargins left="0.7" right="0.7" top="0.75" bottom="0.75" header="0.3" footer="0.3"/>
  <pageSetup paperSize="9" orientation="portrait"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6071E94D4CD124CB85E3D64C57F1724" ma:contentTypeVersion="18" ma:contentTypeDescription="Create a new document." ma:contentTypeScope="" ma:versionID="123d219e6f065397c46f2c6f63114746">
  <xsd:schema xmlns:xsd="http://www.w3.org/2001/XMLSchema" xmlns:xs="http://www.w3.org/2001/XMLSchema" xmlns:p="http://schemas.microsoft.com/office/2006/metadata/properties" xmlns:ns2="b88ac1c6-6389-40a6-8f7e-c38681aa5506" xmlns:ns3="cb1a69d6-7238-4bc4-a012-331f5ccf8d60" targetNamespace="http://schemas.microsoft.com/office/2006/metadata/properties" ma:root="true" ma:fieldsID="bced5910085f2199692b35a54431a699" ns2:_="" ns3:_="">
    <xsd:import namespace="b88ac1c6-6389-40a6-8f7e-c38681aa5506"/>
    <xsd:import namespace="cb1a69d6-7238-4bc4-a012-331f5ccf8d6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8ac1c6-6389-40a6-8f7e-c38681aa55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2cac1bc-b845-4316-a757-d4fa565f3c4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1a69d6-7238-4bc4-a012-331f5ccf8d60"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bb84c9b9-03c6-4de2-b2ec-346e50115e95}" ma:internalName="TaxCatchAll" ma:showField="CatchAllData" ma:web="cb1a69d6-7238-4bc4-a012-331f5ccf8d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cb1a69d6-7238-4bc4-a012-331f5ccf8d60">
      <UserInfo>
        <DisplayName>Franck Trolliet</DisplayName>
        <AccountId>13</AccountId>
        <AccountType/>
      </UserInfo>
      <UserInfo>
        <DisplayName>Everyone</DisplayName>
        <AccountId>11</AccountId>
        <AccountType/>
      </UserInfo>
      <UserInfo>
        <DisplayName>Lina Ramon</DisplayName>
        <AccountId>704</AccountId>
        <AccountType/>
      </UserInfo>
      <UserInfo>
        <DisplayName>Michael Marus</DisplayName>
        <AccountId>24</AccountId>
        <AccountType/>
      </UserInfo>
    </SharedWithUsers>
    <lcf76f155ced4ddcb4097134ff3c332f xmlns="b88ac1c6-6389-40a6-8f7e-c38681aa5506">
      <Terms xmlns="http://schemas.microsoft.com/office/infopath/2007/PartnerControls"/>
    </lcf76f155ced4ddcb4097134ff3c332f>
    <TaxCatchAll xmlns="cb1a69d6-7238-4bc4-a012-331f5ccf8d60" xsi:nil="true"/>
  </documentManagement>
</p:properties>
</file>

<file path=customXml/itemProps1.xml><?xml version="1.0" encoding="utf-8"?>
<ds:datastoreItem xmlns:ds="http://schemas.openxmlformats.org/officeDocument/2006/customXml" ds:itemID="{CA3895D8-63FE-4025-A088-327A67C869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8ac1c6-6389-40a6-8f7e-c38681aa5506"/>
    <ds:schemaRef ds:uri="cb1a69d6-7238-4bc4-a012-331f5cc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822B984-7E81-44DC-97F8-55B2281E5909}">
  <ds:schemaRefs>
    <ds:schemaRef ds:uri="http://schemas.microsoft.com/sharepoint/v3/contenttype/forms"/>
  </ds:schemaRefs>
</ds:datastoreItem>
</file>

<file path=customXml/itemProps3.xml><?xml version="1.0" encoding="utf-8"?>
<ds:datastoreItem xmlns:ds="http://schemas.openxmlformats.org/officeDocument/2006/customXml" ds:itemID="{BFC76D61-400A-4198-9E6A-E58906E558DE}">
  <ds:schemaRefs>
    <ds:schemaRef ds:uri="http://schemas.microsoft.com/office/2006/documentManagement/types"/>
    <ds:schemaRef ds:uri="http://purl.org/dc/dcmitype/"/>
    <ds:schemaRef ds:uri="b88ac1c6-6389-40a6-8f7e-c38681aa5506"/>
    <ds:schemaRef ds:uri="http://schemas.microsoft.com/office/2006/metadata/properties"/>
    <ds:schemaRef ds:uri="http://schemas.openxmlformats.org/package/2006/metadata/core-properties"/>
    <ds:schemaRef ds:uri="http://purl.org/dc/elements/1.1/"/>
    <ds:schemaRef ds:uri="http://schemas.microsoft.com/office/infopath/2007/PartnerControls"/>
    <ds:schemaRef ds:uri="cb1a69d6-7238-4bc4-a012-331f5ccf8d60"/>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8</vt:i4>
      </vt:variant>
      <vt:variant>
        <vt:lpstr>Adlandırılmış Aralıklar</vt:lpstr>
      </vt:variant>
      <vt:variant>
        <vt:i4>17</vt:i4>
      </vt:variant>
    </vt:vector>
  </HeadingPairs>
  <TitlesOfParts>
    <vt:vector size="25" baseType="lpstr">
      <vt:lpstr>Disclaimer</vt:lpstr>
      <vt:lpstr>Instructions</vt:lpstr>
      <vt:lpstr>Gelir Bildirimi</vt:lpstr>
      <vt:lpstr>Basic Calculator</vt:lpstr>
      <vt:lpstr>COC Group Calculator</vt:lpstr>
      <vt:lpstr>Bulk CoC Calculator</vt:lpstr>
      <vt:lpstr>Bulk Group CoC Calculator</vt:lpstr>
      <vt:lpstr>Inflation</vt:lpstr>
      <vt:lpstr>'Basic Calculator'!AAF_Class</vt:lpstr>
      <vt:lpstr>'Basic Calculator'!Additional_AAF_New</vt:lpstr>
      <vt:lpstr>'Basic Calculator'!Base_Cost_New</vt:lpstr>
      <vt:lpstr>Base_Costs_Lookup</vt:lpstr>
      <vt:lpstr>'Basic Calculator'!CH_Turnover</vt:lpstr>
      <vt:lpstr>'Basic Calculator'!Class_Base_Turnover_New</vt:lpstr>
      <vt:lpstr>Class_Numbers</vt:lpstr>
      <vt:lpstr>CoC_Cert_Types</vt:lpstr>
      <vt:lpstr>CoC_Group_Member_Charge</vt:lpstr>
      <vt:lpstr>'Basic Calculator'!CoC_Type</vt:lpstr>
      <vt:lpstr>COC_Type_Index</vt:lpstr>
      <vt:lpstr>Inflation_Rate</vt:lpstr>
      <vt:lpstr>Min_CoC_Fee</vt:lpstr>
      <vt:lpstr>Processor_to_Trader_Conversion</vt:lpstr>
      <vt:lpstr>Turnover_Bands_Min</vt:lpstr>
      <vt:lpstr>Variable_Costs_Lookup</vt:lpstr>
      <vt:lpstr>'Gelir Bildirimi'!Yazdırma_Alanı</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Steve Ball</dc:creator>
  <cp:keywords/>
  <dc:description/>
  <cp:lastModifiedBy>Fadime KARAGÖZ</cp:lastModifiedBy>
  <cp:revision/>
  <cp:lastPrinted>2024-12-27T14:18:22Z</cp:lastPrinted>
  <dcterms:created xsi:type="dcterms:W3CDTF">2021-07-14T12:35:22Z</dcterms:created>
  <dcterms:modified xsi:type="dcterms:W3CDTF">2025-03-12T13:49:12Z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0x01010006071E94D4CD124CB85E3D64C57F1724</vt:lpwstr>
  </property>
  <property fmtid="{D5CDD505-2E9C-101B-9397-08002B2CF9AE}" pid="3" name="MediaServiceImageTags">
    <vt:lpwstr/>
  </property>
  <property fmtid="{D5CDD505-2E9C-101B-9397-08002B2CF9AE}" pid="4" name="DLPManualFileClassification">
    <vt:lpwstr>{1A067545-A4E2-4FA1-8094-0D7902669705}</vt:lpwstr>
  </property>
  <property fmtid="{D5CDD505-2E9C-101B-9397-08002B2CF9AE}" pid="5" name="DLPManualFileClassificationLastModifiedBy">
    <vt:lpwstr>CIT\Divyalakshmi.R</vt:lpwstr>
  </property>
  <property fmtid="{D5CDD505-2E9C-101B-9397-08002B2CF9AE}" pid="6" name="DLPManualFileClassificationLastModificationDate">
    <vt:lpwstr>1725854530</vt:lpwstr>
  </property>
  <property fmtid="{D5CDD505-2E9C-101B-9397-08002B2CF9AE}" pid="7" name="DLPManualFileClassificationVersion">
    <vt:lpwstr>11.10.100.17</vt:lpwstr>
  </property>
</Properties>
</file>